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_sdileni\Osov\Dotace\Dotace_2022\PŘEDFINANCOVÁNÍ_NFV 2022\"/>
    </mc:Choice>
  </mc:AlternateContent>
  <xr:revisionPtr revIDLastSave="0" documentId="8_{78A41906-FAC4-4CAA-8F84-DC944ED52C35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Export" sheetId="1" r:id="rId1"/>
    <sheet name="Výpočet návrhu" sheetId="2" r:id="rId2"/>
  </sheets>
  <definedNames>
    <definedName name="_xlnm._FilterDatabase" localSheetId="1" hidden="1">'Výpočet návrhu'!$B$1:$J$53</definedName>
    <definedName name="_xlnm.Print_Titles" localSheetId="1">'Výpočet návrhu'!$1:$1</definedName>
    <definedName name="_xlnm.Print_Area" localSheetId="1">'Výpočet návrhu'!$B$1:$J$56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" i="2" l="1"/>
  <c r="H16" i="2" l="1"/>
  <c r="I16" i="2" s="1"/>
  <c r="H43" i="2"/>
  <c r="I28" i="2"/>
  <c r="I30" i="2"/>
  <c r="I27" i="2"/>
  <c r="I19" i="2"/>
  <c r="I12" i="2"/>
  <c r="I13" i="2"/>
  <c r="I50" i="2"/>
  <c r="I51" i="2"/>
  <c r="I52" i="2"/>
  <c r="I14" i="2"/>
  <c r="I15" i="2"/>
  <c r="I7" i="2"/>
  <c r="I10" i="2"/>
  <c r="I11" i="2"/>
  <c r="I29" i="2"/>
  <c r="I31" i="2"/>
  <c r="I32" i="2"/>
  <c r="I33" i="2"/>
  <c r="I34" i="2"/>
  <c r="I35" i="2"/>
  <c r="I36" i="2"/>
  <c r="I37" i="2"/>
  <c r="I38" i="2"/>
  <c r="I39" i="2"/>
  <c r="I40" i="2"/>
  <c r="I41" i="2"/>
  <c r="I20" i="2"/>
  <c r="I21" i="2"/>
  <c r="I22" i="2"/>
  <c r="I23" i="2"/>
  <c r="I24" i="2"/>
  <c r="I25" i="2"/>
  <c r="I26" i="2"/>
  <c r="I48" i="2"/>
  <c r="I49" i="2"/>
  <c r="I47" i="2"/>
  <c r="I18" i="2"/>
  <c r="I44" i="2"/>
  <c r="I45" i="2"/>
  <c r="I46" i="2"/>
  <c r="I42" i="2"/>
  <c r="I17" i="2"/>
  <c r="I8" i="2"/>
  <c r="I4" i="2"/>
  <c r="I5" i="2"/>
  <c r="I6" i="2"/>
  <c r="I43" i="2"/>
  <c r="I2" i="2"/>
  <c r="I3" i="2"/>
  <c r="H26" i="2" l="1"/>
  <c r="H51" i="2"/>
  <c r="H27" i="2"/>
  <c r="H17" i="2"/>
  <c r="H40" i="2"/>
  <c r="H39" i="2"/>
  <c r="H38" i="2"/>
  <c r="H37" i="2"/>
  <c r="H30" i="2"/>
  <c r="H46" i="2"/>
  <c r="H45" i="2"/>
  <c r="H44" i="2"/>
  <c r="H4" i="2" l="1"/>
  <c r="H52" i="2" l="1"/>
  <c r="H19" i="2"/>
  <c r="H7" i="2" l="1"/>
  <c r="H18" i="2"/>
  <c r="H47" i="2" l="1"/>
  <c r="H25" i="2"/>
  <c r="H24" i="2"/>
  <c r="H23" i="2"/>
  <c r="H22" i="2"/>
  <c r="H21" i="2"/>
  <c r="H20" i="2"/>
  <c r="H49" i="2" l="1"/>
  <c r="H11" i="2"/>
  <c r="H10" i="2"/>
  <c r="H15" i="2"/>
  <c r="H13" i="2"/>
  <c r="H28" i="2"/>
  <c r="H6" i="2"/>
  <c r="H36" i="2" l="1"/>
  <c r="H35" i="2"/>
  <c r="H34" i="2"/>
  <c r="H33" i="2" l="1"/>
  <c r="H32" i="2"/>
  <c r="H31" i="2"/>
  <c r="H50" i="2" l="1"/>
  <c r="H2" i="2"/>
  <c r="H41" i="2" l="1"/>
  <c r="H48" i="2"/>
  <c r="H8" i="2"/>
  <c r="H29" i="2" l="1"/>
  <c r="H14" i="2"/>
  <c r="H12" i="2"/>
  <c r="H3" i="2"/>
  <c r="I53" i="2" l="1"/>
  <c r="G53" i="2" l="1"/>
  <c r="F2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Jiří Pavlíček</author>
  </authors>
  <commentList>
    <comment ref="H5" authorId="0" shapeId="0" xr:uid="{61B3F6A6-4028-40A0-ADCD-6B5F4E69FD3F}">
      <text>
        <r>
          <rPr>
            <b/>
            <sz val="9"/>
            <color indexed="81"/>
            <rFont val="Tahoma"/>
            <family val="2"/>
            <charset val="238"/>
          </rPr>
          <t>Jiří Pavlíček:</t>
        </r>
        <r>
          <rPr>
            <sz val="9"/>
            <color indexed="81"/>
            <rFont val="Tahoma"/>
            <family val="2"/>
            <charset val="238"/>
          </rPr>
          <t xml:space="preserve">
počítáno na 3,6 úvazku</t>
        </r>
      </text>
    </comment>
    <comment ref="H7" authorId="0" shapeId="0" xr:uid="{9BAC1CD5-5B1E-4B98-90B4-F0F9B62E7945}">
      <text>
        <r>
          <rPr>
            <b/>
            <sz val="9"/>
            <color indexed="81"/>
            <rFont val="Tahoma"/>
            <family val="2"/>
            <charset val="238"/>
          </rPr>
          <t>Jiří Pavlíček:</t>
        </r>
        <r>
          <rPr>
            <sz val="9"/>
            <color indexed="81"/>
            <rFont val="Tahoma"/>
            <family val="2"/>
            <charset val="238"/>
          </rPr>
          <t xml:space="preserve">
počítáno na 2,75 úvazku, v roce 2021 měl v Pověření 1,31 úvazku</t>
        </r>
      </text>
    </comment>
    <comment ref="H10" authorId="0" shapeId="0" xr:uid="{D8DAD071-B3A6-4B58-A18B-012EDC4927EA}">
      <text>
        <r>
          <rPr>
            <b/>
            <sz val="9"/>
            <color indexed="81"/>
            <rFont val="Tahoma"/>
            <family val="2"/>
            <charset val="238"/>
          </rPr>
          <t>Jiří Pavlíček:</t>
        </r>
        <r>
          <rPr>
            <sz val="9"/>
            <color indexed="81"/>
            <rFont val="Tahoma"/>
            <family val="2"/>
            <charset val="238"/>
          </rPr>
          <t xml:space="preserve">
pro 9,0 úvazků, v r.2021 bylo v Pověření 9,5 úvazku</t>
        </r>
      </text>
    </comment>
    <comment ref="H16" authorId="0" shapeId="0" xr:uid="{7BB69675-7940-4F0C-968F-16AE594746B2}">
      <text>
        <r>
          <rPr>
            <b/>
            <sz val="9"/>
            <color indexed="81"/>
            <rFont val="Tahoma"/>
            <family val="2"/>
            <charset val="238"/>
          </rPr>
          <t>Jiří Pavlíček:</t>
        </r>
        <r>
          <rPr>
            <sz val="9"/>
            <color indexed="81"/>
            <rFont val="Tahoma"/>
            <family val="2"/>
            <charset val="238"/>
          </rPr>
          <t xml:space="preserve">
na 0,75 úvazku, v roce 2021 v Pověření 0,3 úvazku</t>
        </r>
      </text>
    </comment>
    <comment ref="H17" authorId="0" shapeId="0" xr:uid="{99E1322B-8CCD-432E-A144-2D26139B3781}">
      <text>
        <r>
          <rPr>
            <b/>
            <sz val="9"/>
            <color indexed="81"/>
            <rFont val="Tahoma"/>
            <family val="2"/>
            <charset val="238"/>
          </rPr>
          <t>Jiří Pavlíček:</t>
        </r>
        <r>
          <rPr>
            <sz val="9"/>
            <color indexed="81"/>
            <rFont val="Tahoma"/>
            <family val="2"/>
            <charset val="238"/>
          </rPr>
          <t xml:space="preserve">
počítáno na nové vyšší úvazky v síti 3,0</t>
        </r>
      </text>
    </comment>
    <comment ref="H19" authorId="0" shapeId="0" xr:uid="{55E24B5A-E8AC-4674-AA0A-8D541BF382EB}">
      <text>
        <r>
          <rPr>
            <b/>
            <sz val="9"/>
            <color indexed="81"/>
            <rFont val="Tahoma"/>
            <family val="2"/>
            <charset val="238"/>
          </rPr>
          <t>Jiří Pavlíček:</t>
        </r>
        <r>
          <rPr>
            <sz val="9"/>
            <color indexed="81"/>
            <rFont val="Tahoma"/>
            <family val="2"/>
            <charset val="238"/>
          </rPr>
          <t xml:space="preserve">
počítáno na 3,6 úvazku, v roce 2021 v Pověření 3,0 úvazku</t>
        </r>
      </text>
    </comment>
    <comment ref="H26" authorId="0" shapeId="0" xr:uid="{E7FDD5DD-0223-41BB-9E56-890D81AA8280}">
      <text>
        <r>
          <rPr>
            <b/>
            <sz val="9"/>
            <color indexed="81"/>
            <rFont val="Tahoma"/>
            <family val="2"/>
            <charset val="238"/>
          </rPr>
          <t>Jiří Pavlíček:</t>
        </r>
        <r>
          <rPr>
            <sz val="9"/>
            <color indexed="81"/>
            <rFont val="Tahoma"/>
            <family val="2"/>
            <charset val="238"/>
          </rPr>
          <t xml:space="preserve">
počítáno na nové nižší úvazky v síti 2,88</t>
        </r>
      </text>
    </comment>
    <comment ref="H30" authorId="0" shapeId="0" xr:uid="{B3870E90-6837-4DF6-BA61-B8FBABCD7B6F}">
      <text>
        <r>
          <rPr>
            <b/>
            <sz val="9"/>
            <color indexed="81"/>
            <rFont val="Tahoma"/>
            <family val="2"/>
            <charset val="238"/>
          </rPr>
          <t>Jiří Pavlíček:</t>
        </r>
        <r>
          <rPr>
            <sz val="9"/>
            <color indexed="81"/>
            <rFont val="Tahoma"/>
            <family val="2"/>
            <charset val="238"/>
          </rPr>
          <t xml:space="preserve">
počítáno na nové nižší úvazky v síti 1,7</t>
        </r>
      </text>
    </comment>
    <comment ref="H37" authorId="0" shapeId="0" xr:uid="{B5F9D00B-17A9-4CBD-9C5D-E4073DA3025D}">
      <text>
        <r>
          <rPr>
            <b/>
            <sz val="9"/>
            <color indexed="81"/>
            <rFont val="Tahoma"/>
            <family val="2"/>
            <charset val="238"/>
          </rPr>
          <t>Jiří Pavlíček:</t>
        </r>
        <r>
          <rPr>
            <sz val="9"/>
            <color indexed="81"/>
            <rFont val="Tahoma"/>
            <family val="2"/>
            <charset val="238"/>
          </rPr>
          <t xml:space="preserve">
počítáno na nové nižší úvazky v síti 0,2</t>
        </r>
      </text>
    </comment>
    <comment ref="H43" authorId="0" shapeId="0" xr:uid="{7F218FAB-E096-4156-90E4-3FBEFAAF8B9A}">
      <text>
        <r>
          <rPr>
            <b/>
            <sz val="9"/>
            <color indexed="81"/>
            <rFont val="Tahoma"/>
            <family val="2"/>
            <charset val="238"/>
          </rPr>
          <t>Jiří Pavlíček:</t>
        </r>
        <r>
          <rPr>
            <sz val="9"/>
            <color indexed="81"/>
            <rFont val="Tahoma"/>
            <family val="2"/>
            <charset val="238"/>
          </rPr>
          <t xml:space="preserve">
POČÍTÁNO NA NOVÉ VYŠŠÍ ÚVAZKY V SÍTI 1,3</t>
        </r>
      </text>
    </comment>
    <comment ref="H44" authorId="0" shapeId="0" xr:uid="{1701B31A-A207-4BDD-AE1C-315D97FDC1F2}">
      <text>
        <r>
          <rPr>
            <b/>
            <sz val="9"/>
            <color indexed="81"/>
            <rFont val="Tahoma"/>
            <family val="2"/>
            <charset val="238"/>
          </rPr>
          <t>Jiří Pavlíček:</t>
        </r>
        <r>
          <rPr>
            <sz val="9"/>
            <color indexed="81"/>
            <rFont val="Tahoma"/>
            <family val="2"/>
            <charset val="238"/>
          </rPr>
          <t xml:space="preserve">
počítáno na nový nižší úvazek v síti 0,48</t>
        </r>
      </text>
    </comment>
    <comment ref="H45" authorId="0" shapeId="0" xr:uid="{5D2171D7-E33E-4314-AA3E-0771DB4669AE}">
      <text>
        <r>
          <rPr>
            <b/>
            <sz val="9"/>
            <color indexed="81"/>
            <rFont val="Tahoma"/>
            <family val="2"/>
            <charset val="238"/>
          </rPr>
          <t>Jiří Pavlíček:</t>
        </r>
        <r>
          <rPr>
            <sz val="9"/>
            <color indexed="81"/>
            <rFont val="Tahoma"/>
            <family val="2"/>
            <charset val="238"/>
          </rPr>
          <t xml:space="preserve">
počítáno na nové vyšší úvazky v síti 3,96</t>
        </r>
      </text>
    </comment>
    <comment ref="H46" authorId="0" shapeId="0" xr:uid="{953B8033-2C4F-4E3D-B908-B176ABD47282}">
      <text>
        <r>
          <rPr>
            <b/>
            <sz val="9"/>
            <color indexed="81"/>
            <rFont val="Tahoma"/>
            <family val="2"/>
            <charset val="238"/>
          </rPr>
          <t>Jiří Pavlíček:</t>
        </r>
        <r>
          <rPr>
            <sz val="9"/>
            <color indexed="81"/>
            <rFont val="Tahoma"/>
            <family val="2"/>
            <charset val="238"/>
          </rPr>
          <t xml:space="preserve">
nová služba s 1,8 úvazky</t>
        </r>
      </text>
    </comment>
    <comment ref="H47" authorId="0" shapeId="0" xr:uid="{3C89D439-4B30-4F27-AC58-3774D3F36F00}">
      <text>
        <r>
          <rPr>
            <b/>
            <sz val="9"/>
            <color indexed="81"/>
            <rFont val="Tahoma"/>
            <family val="2"/>
            <charset val="238"/>
          </rPr>
          <t>Jiří Pavlíček:</t>
        </r>
        <r>
          <rPr>
            <sz val="9"/>
            <color indexed="81"/>
            <rFont val="Tahoma"/>
            <family val="2"/>
            <charset val="238"/>
          </rPr>
          <t xml:space="preserve">
na 0,8 úvazku, v roce 2021 bylo v Pověření 2,0 úvazku</t>
        </r>
      </text>
    </comment>
  </commentList>
</comments>
</file>

<file path=xl/sharedStrings.xml><?xml version="1.0" encoding="utf-8"?>
<sst xmlns="http://schemas.openxmlformats.org/spreadsheetml/2006/main" count="244" uniqueCount="116">
  <si>
    <t>Identifikátor</t>
  </si>
  <si>
    <t>Žadatel</t>
  </si>
  <si>
    <t>IČO</t>
  </si>
  <si>
    <t>KUCBX0111JIE</t>
  </si>
  <si>
    <t>Arpida, centrum pro rehabilitaci osob se zdravotním postižením, z.ú.,  U Hvízdala 1402/9,  37011 České Budějovice, reditel@arpida.cz</t>
  </si>
  <si>
    <t>§ 39 Osobní asistence*§ 44 Odlehčovací služby*§ 46 Denní stacionáře*§ 54 Raná péče*§ 70 Sociální rehabilitace**********</t>
  </si>
  <si>
    <t>KUCBX011093S</t>
  </si>
  <si>
    <t>THEIA - krizové centrum o.p.s.,  Mánesova 11/3b,  37001 České Budějovice, cechova@theia.cz</t>
  </si>
  <si>
    <t>§ 60 Krizová pomoc*§ 37 Odborné sociální poradenství*§ 37 Odborné sociální poradenství*§ 37 Odborné sociální poradenství***********</t>
  </si>
  <si>
    <t>KUCBX01120QM</t>
  </si>
  <si>
    <t>Spolu spojit síly z. s.,    122/,  37341 Hosín, spolu.spojit.sily@gmail.com</t>
  </si>
  <si>
    <t>§ 44 Odlehčovací služby**************</t>
  </si>
  <si>
    <t>KUCBX01128W8</t>
  </si>
  <si>
    <t>Hospicová péče sv. Kleofáše, o.p.s.,  Svatopluka Čecha 20/,  37901 Třeboň, irena.kalna@kleofas.cz</t>
  </si>
  <si>
    <t>§ 37 Odborné sociální poradenství*§ 44 Odlehčovací služby*************</t>
  </si>
  <si>
    <t>KUCBX01120PR</t>
  </si>
  <si>
    <t>Česká maltézská pomoc Suverénního řádu maltézských rytířů, pod patronátem Velkopřevorství českého, středisko České Budějovice, obecně prospěšná společnost,  Na Sadech 2035/19,  37001 České Budějovice</t>
  </si>
  <si>
    <t>§ 42 Průvodcovské a předčitatelské služby**************</t>
  </si>
  <si>
    <t>KUCBX0111DL5</t>
  </si>
  <si>
    <t>Domov pro seniory Kaplice,  Míru 366/,  38241 Kaplice, reditel@domovkaplice.cz</t>
  </si>
  <si>
    <t>§ 49 Domovy pro seniory**************</t>
  </si>
  <si>
    <t>KUCBX0110FNU</t>
  </si>
  <si>
    <t>Chelčický domov sv. Linharta, o.p.s.,    1/,  38901 Chelčice, reditelka@linhart-chelcice.cz</t>
  </si>
  <si>
    <t>§ 40 Pečovatelská služba**************</t>
  </si>
  <si>
    <t>KUCBX0111AYX</t>
  </si>
  <si>
    <t>Mezi proudy o.p.s.,  Komenského 71/15,  37001 České Budějovice</t>
  </si>
  <si>
    <t>§ 70 Sociální rehabilitace**************</t>
  </si>
  <si>
    <t>KUCBX0111960</t>
  </si>
  <si>
    <t>Poradna pro rodinu, manželství, mezilidské vztahy, psychosociální, pracovně-profesní oblast a osobnostní rozvoj, o.p.s.,    83/,  38734 Záboří, dolezalovadr@seznam.cz</t>
  </si>
  <si>
    <t>§ 37 Odborné sociální poradenství**************</t>
  </si>
  <si>
    <t>KUCBX010VKF9</t>
  </si>
  <si>
    <t>Ledax o.p.s.,  Riegrova 1756/51,  37001 České Budějovice</t>
  </si>
  <si>
    <t>KUCBX0110HOB</t>
  </si>
  <si>
    <t>I MY, o.p.s.,  tř. Dr. Edvarda Beneše 286/5,  39201 Soběslav, klara@imypomahame.cz</t>
  </si>
  <si>
    <t>§ 54 Raná péče**************</t>
  </si>
  <si>
    <t>KUCBX0110BMR</t>
  </si>
  <si>
    <t>FOKUS České Budějovice, z.ú.,  Novohradská 1058/71,  37008 České Budějovice</t>
  </si>
  <si>
    <t>§ 51 Chráněné bydlení*§ 70 Sociální rehabilitace*************</t>
  </si>
  <si>
    <t>KUCBX010ZN4R</t>
  </si>
  <si>
    <t>Základní škola a Mateřská škola a poskytovatel sociálních služeb, Kaňka o.p.s.,  Helsinská 2731/1,  39005 Tábor, lintnerova@kanka.info</t>
  </si>
  <si>
    <t>§ 46 Denní stacionáře*§ 39 Osobní asistence*§ 54 Raná péče************</t>
  </si>
  <si>
    <t>KUCBX010Z6B3</t>
  </si>
  <si>
    <t>FOKUS Tábor, z. s.,  Mostecká 2087/17,  39002 Tábor</t>
  </si>
  <si>
    <t>KUCBX010YXWA</t>
  </si>
  <si>
    <t>Borůvka, Borovany spolek,  Petra z Lindy 147/,  37312 Borovany, info@boruvka-borovany.cz</t>
  </si>
  <si>
    <t>KUCBX010Y1QC</t>
  </si>
  <si>
    <t>FOKUS - Písek, z.ú.,  Kollárova 485/13,  39701 Písek</t>
  </si>
  <si>
    <t>§ 70 Sociální rehabilitace*§ 70 Sociální rehabilitace*************</t>
  </si>
  <si>
    <t>KUCBX010YFWS</t>
  </si>
  <si>
    <t>Otevřená OKNA, z. ú.,  Na Piketě 742/,  37701 Jindřichův Hradec, okna@okenko.eu</t>
  </si>
  <si>
    <t>§ 51 Chráněné bydlení**************</t>
  </si>
  <si>
    <t>KUCBX010UEJ8</t>
  </si>
  <si>
    <t>PREVENT 99 z.ú.,  Heydukova 349/,  38601 Strakonice</t>
  </si>
  <si>
    <t>§ 37 Odborné sociální poradenství*§ 37 Odborné sociální poradenství*§ 37 Odborné sociální poradenství*§ 37 Odborné sociální poradenství*§ 59 Kontaktní centra*§ 59 Kontaktní centra*§ 59 Kontaktní centra*§ 62 Nízkoprahová zařízení pro děti a mládež*§ 62 Ní</t>
  </si>
  <si>
    <t>KUCBX010U89S</t>
  </si>
  <si>
    <t>Jihočeské centrum pro zdravotně postižené a seniory o.p.s.,  SNP 559/,  38301 Prachatice</t>
  </si>
  <si>
    <t>§ 39 Osobní asistence*§ 37 Odborné sociální poradenství*§ 37 Odborné sociální poradenství*§ 37 Odborné sociální poradenství*§ 37 Odborné sociální poradenství*§ 37 Odborné sociální poradenství*§ 37 Odborné sociální poradenství********</t>
  </si>
  <si>
    <t>KUCBX010XNUV</t>
  </si>
  <si>
    <t>TyfloCentrum České Budějovice, o. p. s.,  Roudenská 485/18,  37001 České Budějovice, steringa@seznam.cz</t>
  </si>
  <si>
    <t>§ 37 Odborné sociální poradenství*§ 70 Sociální rehabilitace*§ 42 Průvodcovské a předčitatelské služby************</t>
  </si>
  <si>
    <t>Pořadové číslo</t>
  </si>
  <si>
    <t xml:space="preserve">požadovano </t>
  </si>
  <si>
    <t>Soc.sl.</t>
  </si>
  <si>
    <t>Cellkový požadavek</t>
  </si>
  <si>
    <t>Název poskytovatele</t>
  </si>
  <si>
    <t>IČ</t>
  </si>
  <si>
    <t>Právní forma</t>
  </si>
  <si>
    <t>ID</t>
  </si>
  <si>
    <t>Druh služby</t>
  </si>
  <si>
    <t>Arpida, centrum pro rehabilitaci osob se zdravotním postižením, z.ú.</t>
  </si>
  <si>
    <t>Ústav</t>
  </si>
  <si>
    <t>denní stacionáře</t>
  </si>
  <si>
    <t>odlehčovací služby</t>
  </si>
  <si>
    <t>osobní asistence</t>
  </si>
  <si>
    <t>raná péče</t>
  </si>
  <si>
    <t>sociální rehabilitace</t>
  </si>
  <si>
    <t>THEIA - krizové centrum o.p.s.</t>
  </si>
  <si>
    <t>Obecně prospěšná společnost</t>
  </si>
  <si>
    <t>krizová pomoc</t>
  </si>
  <si>
    <t>odborné sociální poradenství</t>
  </si>
  <si>
    <t>Spolu spojit síly z. s.</t>
  </si>
  <si>
    <t>Spolek</t>
  </si>
  <si>
    <t>Hospicová péče sv. Kleofáše, o.p.s.</t>
  </si>
  <si>
    <t>Česká maltézská pomoc SŘMR pod patronátem Velkopřevorství českého,stř.Č.B.,o.p.s</t>
  </si>
  <si>
    <t>průvodcovské a předčitatelské služby</t>
  </si>
  <si>
    <t>Domov pro seniory Kaplice</t>
  </si>
  <si>
    <t>Příspěvková organizace zřízená územním samosprávným celkem</t>
  </si>
  <si>
    <t>domovy pro seniory</t>
  </si>
  <si>
    <t>Chelčický domov sv. Linharta, o.p.s.</t>
  </si>
  <si>
    <t>pečovatelská služba</t>
  </si>
  <si>
    <t>Mezi proudy o.p.s.</t>
  </si>
  <si>
    <t>Poradna pro rodinu, manželství, mezilidské vztahy, psychosociální, pracovně-profesní oblast a osobnostní rozvoj, o.p.s.</t>
  </si>
  <si>
    <t>Ledax o.p.s.</t>
  </si>
  <si>
    <t>I MY, o.p.s.</t>
  </si>
  <si>
    <t>FOKUS České Budějovice, z.ú.</t>
  </si>
  <si>
    <t>chráněné bydlení</t>
  </si>
  <si>
    <t>Základní škola a Mateřská škola a poskytovatel sociálních služeb, Kaňka o.p.s.</t>
  </si>
  <si>
    <t>FOKUS Tábor, z.s.</t>
  </si>
  <si>
    <t>Borůvka, Borovany spolek</t>
  </si>
  <si>
    <t>FOKUS - Písek, z.ú.</t>
  </si>
  <si>
    <t>Otevřená OKNA, z. ú.</t>
  </si>
  <si>
    <t>PREVENT 99 z.ú.</t>
  </si>
  <si>
    <t>kontaktní centra</t>
  </si>
  <si>
    <t>nízkoprahová zařízení pro děti a mládež</t>
  </si>
  <si>
    <t>terénní programy</t>
  </si>
  <si>
    <t>Jihočeské centrum pro zdravotně postižené a seniory o.p.s.</t>
  </si>
  <si>
    <t>TyfloCentrum České Budějovice, o.p.s.</t>
  </si>
  <si>
    <t>Poř.č.</t>
  </si>
  <si>
    <t>DŮVOD ODMÍTNUTÍ/NEPODPORY PODANÉ ŽÁDOSTI, DŮVOD KRÁCENÍ DOTACE</t>
  </si>
  <si>
    <t>Žádost o NFV (Kč)</t>
  </si>
  <si>
    <t>Vypočtená maximální NFV (Kč)</t>
  </si>
  <si>
    <t>Není oprávněný žadatel dle čl. 2.2. Pravidel</t>
  </si>
  <si>
    <t>neposkytnutí NFV</t>
  </si>
  <si>
    <t>nadměrná žádost*</t>
  </si>
  <si>
    <t xml:space="preserve">* Za přiměřený a hospodárný požadavek na NFV na jednotlivou službu je dle schválených Pravidel považován požadavek v maximální výši 25 % poskytnuté Dotace MPSV v předchozím roce. </t>
  </si>
  <si>
    <t>Návrh_návratná finanční výppomoc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</si>
</sst>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#,##0\ &quot;Kč&quot;;[Red]\-#,##0\ &quot;Kč&quot;"/>
  </numFmts>
  <fonts count="3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57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4"/>
      <color indexed="64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0"/>
      <name val="Tahoma"/>
      <family val="2"/>
      <charset val="238"/>
    </font>
    <font>
      <b/>
      <sz val="11"/>
      <color rgb="FFFF0000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7"/>
      <color rgb="FFFF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DE9D9"/>
        <bgColor rgb="FF0000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9">
    <xf numFmtId="0" fontId="0" fillId="0" borderId="0" xfId="0"/>
    <xf numFmtId="0" fontId="16" fillId="33" borderId="10" xfId="0" applyFont="1" applyFill="1" applyBorder="1" applyAlignment="1">
      <alignment horizontal="center"/>
    </xf>
    <xf numFmtId="6" fontId="0" fillId="0" borderId="0" xfId="0" applyNumberFormat="1"/>
    <xf numFmtId="3" fontId="0" fillId="0" borderId="0" xfId="0" applyNumberFormat="1"/>
    <xf numFmtId="0" fontId="16" fillId="33" borderId="11" xfId="0" applyFont="1" applyFill="1" applyBorder="1" applyAlignment="1">
      <alignment horizontal="center" wrapText="1"/>
    </xf>
    <xf numFmtId="0" fontId="16" fillId="33" borderId="11" xfId="0" applyFont="1" applyFill="1" applyBorder="1" applyAlignment="1">
      <alignment horizontal="center"/>
    </xf>
    <xf numFmtId="0" fontId="0" fillId="0" borderId="11" xfId="0" applyBorder="1"/>
    <xf numFmtId="3" fontId="0" fillId="0" borderId="11" xfId="0" applyNumberFormat="1" applyBorder="1"/>
    <xf numFmtId="49" fontId="18" fillId="34" borderId="12" xfId="0" applyNumberFormat="1" applyFont="1" applyFill="1" applyBorder="1" applyAlignment="1">
      <alignment horizontal="center" vertical="center" wrapText="1"/>
    </xf>
    <xf numFmtId="49" fontId="18" fillId="34" borderId="13" xfId="0" applyNumberFormat="1" applyFont="1" applyFill="1" applyBorder="1" applyAlignment="1">
      <alignment horizontal="center" vertical="center" wrapText="1"/>
    </xf>
    <xf numFmtId="49" fontId="18" fillId="34" borderId="14" xfId="0" applyNumberFormat="1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1" fillId="0" borderId="11" xfId="0" applyFont="1" applyBorder="1"/>
    <xf numFmtId="3" fontId="0" fillId="0" borderId="18" xfId="0" applyNumberFormat="1" applyBorder="1"/>
    <xf numFmtId="0" fontId="22" fillId="0" borderId="15" xfId="0" applyFont="1" applyBorder="1" applyAlignment="1">
      <alignment vertical="center"/>
    </xf>
    <xf numFmtId="0" fontId="22" fillId="0" borderId="11" xfId="0" applyFont="1" applyBorder="1" applyAlignment="1">
      <alignment vertical="center"/>
    </xf>
    <xf numFmtId="3" fontId="14" fillId="0" borderId="11" xfId="0" applyNumberFormat="1" applyFont="1" applyBorder="1"/>
    <xf numFmtId="0" fontId="16" fillId="37" borderId="19" xfId="0" applyFont="1" applyFill="1" applyBorder="1" applyAlignment="1">
      <alignment horizontal="center" vertical="top" wrapText="1"/>
    </xf>
    <xf numFmtId="0" fontId="16" fillId="38" borderId="19" xfId="0" applyFont="1" applyFill="1" applyBorder="1" applyAlignment="1">
      <alignment horizontal="center" vertical="top" wrapText="1"/>
    </xf>
    <xf numFmtId="0" fontId="23" fillId="35" borderId="19" xfId="0" applyFont="1" applyFill="1" applyBorder="1" applyAlignment="1">
      <alignment horizontal="center" vertical="top" wrapText="1"/>
    </xf>
    <xf numFmtId="0" fontId="19" fillId="0" borderId="20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0" fontId="20" fillId="0" borderId="18" xfId="0" applyFont="1" applyBorder="1" applyAlignment="1">
      <alignment vertical="center"/>
    </xf>
    <xf numFmtId="3" fontId="16" fillId="36" borderId="21" xfId="0" applyNumberFormat="1" applyFont="1" applyFill="1" applyBorder="1"/>
    <xf numFmtId="49" fontId="0" fillId="0" borderId="22" xfId="0" applyNumberFormat="1" applyBorder="1" applyAlignment="1">
      <alignment horizontal="center" vertical="center" wrapText="1"/>
    </xf>
    <xf numFmtId="0" fontId="0" fillId="0" borderId="23" xfId="0" applyBorder="1"/>
    <xf numFmtId="0" fontId="0" fillId="0" borderId="24" xfId="0" applyBorder="1"/>
    <xf numFmtId="0" fontId="20" fillId="0" borderId="25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3" fontId="0" fillId="0" borderId="26" xfId="0" applyNumberFormat="1" applyBorder="1"/>
    <xf numFmtId="0" fontId="0" fillId="0" borderId="29" xfId="0" applyBorder="1"/>
    <xf numFmtId="0" fontId="0" fillId="0" borderId="17" xfId="0" applyBorder="1"/>
    <xf numFmtId="0" fontId="0" fillId="0" borderId="30" xfId="0" applyBorder="1"/>
    <xf numFmtId="0" fontId="24" fillId="38" borderId="19" xfId="0" applyFont="1" applyFill="1" applyBorder="1" applyAlignment="1">
      <alignment horizontal="center" vertical="center" wrapText="1"/>
    </xf>
    <xf numFmtId="3" fontId="0" fillId="0" borderId="27" xfId="0" applyNumberFormat="1" applyBorder="1"/>
    <xf numFmtId="3" fontId="0" fillId="0" borderId="16" xfId="0" applyNumberFormat="1" applyBorder="1"/>
    <xf numFmtId="3" fontId="16" fillId="39" borderId="17" xfId="0" applyNumberFormat="1" applyFont="1" applyFill="1" applyBorder="1"/>
    <xf numFmtId="3" fontId="25" fillId="39" borderId="17" xfId="0" applyNumberFormat="1" applyFont="1" applyFill="1" applyBorder="1"/>
    <xf numFmtId="3" fontId="16" fillId="39" borderId="30" xfId="0" applyNumberFormat="1" applyFont="1" applyFill="1" applyBorder="1"/>
    <xf numFmtId="3" fontId="16" fillId="38" borderId="21" xfId="0" applyNumberFormat="1" applyFont="1" applyFill="1" applyBorder="1"/>
    <xf numFmtId="3" fontId="21" fillId="0" borderId="16" xfId="0" applyNumberFormat="1" applyFont="1" applyBorder="1"/>
    <xf numFmtId="3" fontId="21" fillId="0" borderId="28" xfId="0" applyNumberFormat="1" applyFont="1" applyBorder="1"/>
    <xf numFmtId="0" fontId="28" fillId="0" borderId="17" xfId="0" applyFont="1" applyBorder="1" applyAlignment="1">
      <alignment wrapText="1"/>
    </xf>
    <xf numFmtId="0" fontId="29" fillId="0" borderId="17" xfId="0" applyFont="1" applyBorder="1"/>
    <xf numFmtId="3" fontId="21" fillId="0" borderId="11" xfId="0" applyNumberFormat="1" applyFont="1" applyBorder="1"/>
    <xf numFmtId="3" fontId="30" fillId="39" borderId="17" xfId="0" applyNumberFormat="1" applyFont="1" applyFill="1" applyBorder="1"/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Správně" xfId="6" builtinId="26" customBuiltin="1"/>
    <cellStyle name="Špatně" xfId="7" builtinId="27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3"/>
  <sheetViews>
    <sheetView workbookViewId="0">
      <selection activeCell="C29" sqref="C29"/>
    </sheetView>
  </sheetViews>
  <sheetFormatPr defaultRowHeight="14.4" x14ac:dyDescent="0.3"/>
  <cols>
    <col min="1" max="1" width="9" customWidth="1"/>
    <col min="2" max="2" width="14.6640625" bestFit="1" customWidth="1"/>
    <col min="3" max="3" width="38.6640625" customWidth="1"/>
    <col min="4" max="4" width="234.109375" bestFit="1" customWidth="1"/>
    <col min="5" max="5" width="12.5546875" customWidth="1"/>
    <col min="6" max="6" width="9.88671875" bestFit="1" customWidth="1"/>
  </cols>
  <sheetData>
    <row r="1" spans="1:6" s="1" customFormat="1" ht="43.2" x14ac:dyDescent="0.3">
      <c r="A1" s="4" t="s">
        <v>60</v>
      </c>
      <c r="B1" s="5" t="s">
        <v>0</v>
      </c>
      <c r="C1" s="5" t="s">
        <v>1</v>
      </c>
      <c r="D1" s="5" t="s">
        <v>62</v>
      </c>
      <c r="E1" s="5" t="s">
        <v>2</v>
      </c>
      <c r="F1" s="4" t="s">
        <v>63</v>
      </c>
    </row>
    <row r="2" spans="1:6" x14ac:dyDescent="0.3">
      <c r="A2" s="6">
        <v>20</v>
      </c>
      <c r="B2" s="6" t="s">
        <v>3</v>
      </c>
      <c r="C2" s="6" t="s">
        <v>4</v>
      </c>
      <c r="D2" s="6" t="s">
        <v>5</v>
      </c>
      <c r="E2" s="6">
        <v>65053079</v>
      </c>
      <c r="F2" s="7">
        <v>3100000</v>
      </c>
    </row>
    <row r="3" spans="1:6" x14ac:dyDescent="0.3">
      <c r="A3" s="6">
        <v>19</v>
      </c>
      <c r="B3" s="6" t="s">
        <v>6</v>
      </c>
      <c r="C3" s="6" t="s">
        <v>7</v>
      </c>
      <c r="D3" s="6" t="s">
        <v>8</v>
      </c>
      <c r="E3" s="6">
        <v>26562731</v>
      </c>
      <c r="F3" s="7">
        <v>1250000</v>
      </c>
    </row>
    <row r="4" spans="1:6" x14ac:dyDescent="0.3">
      <c r="A4" s="6">
        <v>18</v>
      </c>
      <c r="B4" s="6" t="s">
        <v>9</v>
      </c>
      <c r="C4" s="6" t="s">
        <v>10</v>
      </c>
      <c r="D4" s="6" t="s">
        <v>11</v>
      </c>
      <c r="E4" s="6">
        <v>7118686</v>
      </c>
      <c r="F4" s="7">
        <v>200000</v>
      </c>
    </row>
    <row r="5" spans="1:6" x14ac:dyDescent="0.3">
      <c r="A5" s="6">
        <v>17</v>
      </c>
      <c r="B5" s="6" t="s">
        <v>12</v>
      </c>
      <c r="C5" s="6" t="s">
        <v>13</v>
      </c>
      <c r="D5" s="6" t="s">
        <v>14</v>
      </c>
      <c r="E5" s="6">
        <v>22707328</v>
      </c>
      <c r="F5" s="7">
        <v>501000</v>
      </c>
    </row>
    <row r="6" spans="1:6" x14ac:dyDescent="0.3">
      <c r="A6" s="6">
        <v>16</v>
      </c>
      <c r="B6" s="6" t="s">
        <v>15</v>
      </c>
      <c r="C6" s="6" t="s">
        <v>16</v>
      </c>
      <c r="D6" s="6" t="s">
        <v>17</v>
      </c>
      <c r="E6" s="6">
        <v>25154541</v>
      </c>
      <c r="F6" s="7">
        <v>1100000</v>
      </c>
    </row>
    <row r="7" spans="1:6" x14ac:dyDescent="0.3">
      <c r="A7" s="6">
        <v>15</v>
      </c>
      <c r="B7" s="6" t="s">
        <v>18</v>
      </c>
      <c r="C7" s="6" t="s">
        <v>19</v>
      </c>
      <c r="D7" s="6" t="s">
        <v>20</v>
      </c>
      <c r="E7" s="6">
        <v>60630213</v>
      </c>
      <c r="F7" s="7">
        <v>2600000</v>
      </c>
    </row>
    <row r="8" spans="1:6" x14ac:dyDescent="0.3">
      <c r="A8" s="6">
        <v>14</v>
      </c>
      <c r="B8" s="6" t="s">
        <v>21</v>
      </c>
      <c r="C8" s="6" t="s">
        <v>22</v>
      </c>
      <c r="D8" s="6" t="s">
        <v>23</v>
      </c>
      <c r="E8" s="6">
        <v>28138520</v>
      </c>
      <c r="F8" s="7">
        <v>249500</v>
      </c>
    </row>
    <row r="9" spans="1:6" x14ac:dyDescent="0.3">
      <c r="A9" s="6">
        <v>13</v>
      </c>
      <c r="B9" s="6" t="s">
        <v>24</v>
      </c>
      <c r="C9" s="6" t="s">
        <v>25</v>
      </c>
      <c r="D9" s="6" t="s">
        <v>26</v>
      </c>
      <c r="E9" s="6">
        <v>28136233</v>
      </c>
      <c r="F9" s="7">
        <v>289000</v>
      </c>
    </row>
    <row r="10" spans="1:6" x14ac:dyDescent="0.3">
      <c r="A10" s="6">
        <v>12</v>
      </c>
      <c r="B10" s="6" t="s">
        <v>27</v>
      </c>
      <c r="C10" s="6" t="s">
        <v>28</v>
      </c>
      <c r="D10" s="6" t="s">
        <v>29</v>
      </c>
      <c r="E10" s="6">
        <v>2424282</v>
      </c>
      <c r="F10" s="7">
        <v>265500</v>
      </c>
    </row>
    <row r="11" spans="1:6" x14ac:dyDescent="0.3">
      <c r="A11" s="6">
        <v>11</v>
      </c>
      <c r="B11" s="6" t="s">
        <v>30</v>
      </c>
      <c r="C11" s="6" t="s">
        <v>31</v>
      </c>
      <c r="D11" s="6" t="s">
        <v>23</v>
      </c>
      <c r="E11" s="6">
        <v>28068955</v>
      </c>
      <c r="F11" s="7">
        <v>5000000</v>
      </c>
    </row>
    <row r="12" spans="1:6" x14ac:dyDescent="0.3">
      <c r="A12" s="6">
        <v>10</v>
      </c>
      <c r="B12" s="6" t="s">
        <v>32</v>
      </c>
      <c r="C12" s="6" t="s">
        <v>33</v>
      </c>
      <c r="D12" s="6" t="s">
        <v>34</v>
      </c>
      <c r="E12" s="6">
        <v>70812187</v>
      </c>
      <c r="F12" s="7">
        <v>550000</v>
      </c>
    </row>
    <row r="13" spans="1:6" x14ac:dyDescent="0.3">
      <c r="A13" s="6">
        <v>9</v>
      </c>
      <c r="B13" s="6" t="s">
        <v>35</v>
      </c>
      <c r="C13" s="6" t="s">
        <v>36</v>
      </c>
      <c r="D13" s="6" t="s">
        <v>37</v>
      </c>
      <c r="E13" s="6">
        <v>27023583</v>
      </c>
      <c r="F13" s="7">
        <v>2314000</v>
      </c>
    </row>
    <row r="14" spans="1:6" x14ac:dyDescent="0.3">
      <c r="A14" s="6">
        <v>8</v>
      </c>
      <c r="B14" s="6" t="s">
        <v>38</v>
      </c>
      <c r="C14" s="6" t="s">
        <v>39</v>
      </c>
      <c r="D14" s="6" t="s">
        <v>40</v>
      </c>
      <c r="E14" s="6">
        <v>28090080</v>
      </c>
      <c r="F14" s="7">
        <v>1738000</v>
      </c>
    </row>
    <row r="15" spans="1:6" x14ac:dyDescent="0.3">
      <c r="A15" s="6">
        <v>7</v>
      </c>
      <c r="B15" s="6" t="s">
        <v>41</v>
      </c>
      <c r="C15" s="6" t="s">
        <v>42</v>
      </c>
      <c r="D15" s="6" t="s">
        <v>37</v>
      </c>
      <c r="E15" s="6">
        <v>70858543</v>
      </c>
      <c r="F15" s="7">
        <v>1900000</v>
      </c>
    </row>
    <row r="16" spans="1:6" x14ac:dyDescent="0.3">
      <c r="A16" s="6">
        <v>6</v>
      </c>
      <c r="B16" s="6" t="s">
        <v>43</v>
      </c>
      <c r="C16" s="6" t="s">
        <v>44</v>
      </c>
      <c r="D16" s="6" t="s">
        <v>23</v>
      </c>
      <c r="E16" s="6">
        <v>26641003</v>
      </c>
      <c r="F16" s="7">
        <v>100000</v>
      </c>
    </row>
    <row r="17" spans="1:6" x14ac:dyDescent="0.3">
      <c r="A17" s="6">
        <v>5</v>
      </c>
      <c r="B17" s="6" t="s">
        <v>45</v>
      </c>
      <c r="C17" s="6" t="s">
        <v>46</v>
      </c>
      <c r="D17" s="6" t="s">
        <v>47</v>
      </c>
      <c r="E17" s="6">
        <v>26538776</v>
      </c>
      <c r="F17" s="7">
        <v>2200000</v>
      </c>
    </row>
    <row r="18" spans="1:6" x14ac:dyDescent="0.3">
      <c r="A18" s="6">
        <v>4</v>
      </c>
      <c r="B18" s="6" t="s">
        <v>48</v>
      </c>
      <c r="C18" s="6" t="s">
        <v>49</v>
      </c>
      <c r="D18" s="6" t="s">
        <v>50</v>
      </c>
      <c r="E18" s="6">
        <v>26633582</v>
      </c>
      <c r="F18" s="7">
        <v>1000000</v>
      </c>
    </row>
    <row r="19" spans="1:6" x14ac:dyDescent="0.3">
      <c r="A19" s="6">
        <v>3</v>
      </c>
      <c r="B19" s="6" t="s">
        <v>51</v>
      </c>
      <c r="C19" s="6" t="s">
        <v>52</v>
      </c>
      <c r="D19" s="6" t="s">
        <v>53</v>
      </c>
      <c r="E19" s="6">
        <v>69100641</v>
      </c>
      <c r="F19" s="7">
        <v>5000000</v>
      </c>
    </row>
    <row r="20" spans="1:6" x14ac:dyDescent="0.3">
      <c r="A20" s="6">
        <v>2</v>
      </c>
      <c r="B20" s="6" t="s">
        <v>54</v>
      </c>
      <c r="C20" s="6" t="s">
        <v>55</v>
      </c>
      <c r="D20" s="6" t="s">
        <v>56</v>
      </c>
      <c r="E20" s="6">
        <v>26594463</v>
      </c>
      <c r="F20" s="7">
        <v>1059000</v>
      </c>
    </row>
    <row r="21" spans="1:6" x14ac:dyDescent="0.3">
      <c r="A21" s="6">
        <v>1</v>
      </c>
      <c r="B21" s="6" t="s">
        <v>57</v>
      </c>
      <c r="C21" s="6" t="s">
        <v>58</v>
      </c>
      <c r="D21" s="6" t="s">
        <v>59</v>
      </c>
      <c r="E21" s="6">
        <v>26026848</v>
      </c>
      <c r="F21" s="7">
        <v>875000</v>
      </c>
    </row>
    <row r="22" spans="1:6" x14ac:dyDescent="0.3">
      <c r="F22" s="3">
        <f>SUM(F2:F21)</f>
        <v>31291000</v>
      </c>
    </row>
    <row r="23" spans="1:6" x14ac:dyDescent="0.3">
      <c r="A23" t="s">
        <v>61</v>
      </c>
      <c r="C23" s="2">
        <v>31291000</v>
      </c>
    </row>
  </sheetData>
  <pageMargins left="0.78740157499999996" right="0.78740157499999996" top="0.984251969" bottom="0.984251969" header="0.4921259845" footer="0.4921259845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55379D-5D8A-4A6A-A783-8F87F9643597}">
  <sheetPr>
    <pageSetUpPr fitToPage="1"/>
  </sheetPr>
  <dimension ref="A1:J55"/>
  <sheetViews>
    <sheetView showRowColHeaders="0" tabSelected="1" view="pageLayout" topLeftCell="B1" zoomScaleNormal="100" workbookViewId="0">
      <selection activeCell="K3" sqref="K3"/>
    </sheetView>
  </sheetViews>
  <sheetFormatPr defaultRowHeight="14.4" x14ac:dyDescent="0.3"/>
  <cols>
    <col min="1" max="1" width="4.5546875" hidden="1" customWidth="1"/>
    <col min="2" max="2" width="55.88671875" customWidth="1"/>
    <col min="5" max="5" width="8" bestFit="1" customWidth="1"/>
    <col min="6" max="6" width="33.109375" customWidth="1"/>
    <col min="7" max="7" width="9.88671875" bestFit="1" customWidth="1"/>
    <col min="8" max="8" width="10.33203125" hidden="1" customWidth="1"/>
    <col min="9" max="9" width="17" bestFit="1" customWidth="1"/>
    <col min="10" max="10" width="34.5546875" bestFit="1" customWidth="1"/>
    <col min="11" max="11" width="3.33203125" bestFit="1" customWidth="1"/>
  </cols>
  <sheetData>
    <row r="1" spans="1:10" ht="54.6" thickBot="1" x14ac:dyDescent="0.35">
      <c r="A1" s="27" t="s">
        <v>107</v>
      </c>
      <c r="B1" s="8" t="s">
        <v>64</v>
      </c>
      <c r="C1" s="9" t="s">
        <v>65</v>
      </c>
      <c r="D1" s="9" t="s">
        <v>66</v>
      </c>
      <c r="E1" s="9" t="s">
        <v>67</v>
      </c>
      <c r="F1" s="10" t="s">
        <v>68</v>
      </c>
      <c r="G1" s="22" t="s">
        <v>109</v>
      </c>
      <c r="H1" s="20" t="s">
        <v>110</v>
      </c>
      <c r="I1" s="21" t="s">
        <v>115</v>
      </c>
      <c r="J1" s="36" t="s">
        <v>108</v>
      </c>
    </row>
    <row r="2" spans="1:10" x14ac:dyDescent="0.3">
      <c r="A2" s="28">
        <v>20</v>
      </c>
      <c r="B2" s="23" t="s">
        <v>69</v>
      </c>
      <c r="C2" s="24">
        <v>65053079</v>
      </c>
      <c r="D2" s="25" t="s">
        <v>70</v>
      </c>
      <c r="E2" s="24">
        <v>7191521</v>
      </c>
      <c r="F2" s="24" t="s">
        <v>71</v>
      </c>
      <c r="G2" s="16">
        <v>1200000</v>
      </c>
      <c r="H2" s="37">
        <f>(6267000+59000)*0.25</f>
        <v>1581500</v>
      </c>
      <c r="I2" s="39">
        <f t="shared" ref="I2:I8" si="0">FLOOR(MIN(G2,H2),1000)</f>
        <v>1200000</v>
      </c>
      <c r="J2" s="33"/>
    </row>
    <row r="3" spans="1:10" x14ac:dyDescent="0.3">
      <c r="A3" s="28">
        <v>20</v>
      </c>
      <c r="B3" s="14" t="s">
        <v>69</v>
      </c>
      <c r="C3" s="13">
        <v>65053079</v>
      </c>
      <c r="D3" s="13" t="s">
        <v>70</v>
      </c>
      <c r="E3" s="13">
        <v>4024545</v>
      </c>
      <c r="F3" s="13" t="s">
        <v>72</v>
      </c>
      <c r="G3" s="7">
        <v>200000</v>
      </c>
      <c r="H3" s="38">
        <f>(1059000+30000)*0.25</f>
        <v>272250</v>
      </c>
      <c r="I3" s="39">
        <f t="shared" si="0"/>
        <v>200000</v>
      </c>
      <c r="J3" s="34"/>
    </row>
    <row r="4" spans="1:10" x14ac:dyDescent="0.3">
      <c r="A4" s="28">
        <v>20</v>
      </c>
      <c r="B4" s="14" t="s">
        <v>69</v>
      </c>
      <c r="C4" s="13">
        <v>65053079</v>
      </c>
      <c r="D4" s="13" t="s">
        <v>70</v>
      </c>
      <c r="E4" s="13">
        <v>4827896</v>
      </c>
      <c r="F4" s="13" t="s">
        <v>73</v>
      </c>
      <c r="G4" s="7">
        <v>900000</v>
      </c>
      <c r="H4" s="38">
        <f>(4389000+211000)*0.25</f>
        <v>1150000</v>
      </c>
      <c r="I4" s="39">
        <f t="shared" si="0"/>
        <v>900000</v>
      </c>
      <c r="J4" s="34"/>
    </row>
    <row r="5" spans="1:10" x14ac:dyDescent="0.3">
      <c r="A5" s="28">
        <v>20</v>
      </c>
      <c r="B5" s="14" t="s">
        <v>69</v>
      </c>
      <c r="C5" s="13">
        <v>65053079</v>
      </c>
      <c r="D5" s="13" t="s">
        <v>70</v>
      </c>
      <c r="E5" s="13">
        <v>9794962</v>
      </c>
      <c r="F5" s="13" t="s">
        <v>74</v>
      </c>
      <c r="G5" s="7">
        <v>450000</v>
      </c>
      <c r="H5" s="38">
        <f>(2398000+19000)*0.25</f>
        <v>604250</v>
      </c>
      <c r="I5" s="39">
        <f t="shared" si="0"/>
        <v>450000</v>
      </c>
      <c r="J5" s="34"/>
    </row>
    <row r="6" spans="1:10" x14ac:dyDescent="0.3">
      <c r="A6" s="28">
        <v>20</v>
      </c>
      <c r="B6" s="14" t="s">
        <v>69</v>
      </c>
      <c r="C6" s="13">
        <v>65053079</v>
      </c>
      <c r="D6" s="13" t="s">
        <v>70</v>
      </c>
      <c r="E6" s="13">
        <v>2186287</v>
      </c>
      <c r="F6" s="13" t="s">
        <v>75</v>
      </c>
      <c r="G6" s="7">
        <v>350000</v>
      </c>
      <c r="H6" s="38">
        <f>(2051000+20000)*0.25</f>
        <v>517750</v>
      </c>
      <c r="I6" s="39">
        <f t="shared" si="0"/>
        <v>350000</v>
      </c>
      <c r="J6" s="34"/>
    </row>
    <row r="7" spans="1:10" x14ac:dyDescent="0.3">
      <c r="A7" s="28">
        <v>6</v>
      </c>
      <c r="B7" s="14" t="s">
        <v>98</v>
      </c>
      <c r="C7" s="13">
        <v>26641003</v>
      </c>
      <c r="D7" s="13" t="s">
        <v>81</v>
      </c>
      <c r="E7" s="13">
        <v>6875332</v>
      </c>
      <c r="F7" s="13" t="s">
        <v>89</v>
      </c>
      <c r="G7" s="47">
        <v>100000</v>
      </c>
      <c r="H7" s="43">
        <f>(559000+83000)*0.25</f>
        <v>160500</v>
      </c>
      <c r="I7" s="48">
        <f t="shared" si="0"/>
        <v>100000</v>
      </c>
      <c r="J7" s="45"/>
    </row>
    <row r="8" spans="1:10" x14ac:dyDescent="0.3">
      <c r="A8" s="28">
        <v>16</v>
      </c>
      <c r="B8" s="14" t="s">
        <v>83</v>
      </c>
      <c r="C8" s="13">
        <v>25154541</v>
      </c>
      <c r="D8" s="13" t="s">
        <v>77</v>
      </c>
      <c r="E8" s="13">
        <v>3168284</v>
      </c>
      <c r="F8" s="13" t="s">
        <v>84</v>
      </c>
      <c r="G8" s="7">
        <v>1100000</v>
      </c>
      <c r="H8" s="43">
        <f>(4713000+215000)*0.25</f>
        <v>1232000</v>
      </c>
      <c r="I8" s="39">
        <f t="shared" si="0"/>
        <v>1100000</v>
      </c>
      <c r="J8" s="34"/>
    </row>
    <row r="9" spans="1:10" x14ac:dyDescent="0.3">
      <c r="A9" s="28">
        <v>15</v>
      </c>
      <c r="B9" s="17" t="s">
        <v>85</v>
      </c>
      <c r="C9" s="18">
        <v>60630213</v>
      </c>
      <c r="D9" s="18" t="s">
        <v>86</v>
      </c>
      <c r="E9" s="18">
        <v>2589604</v>
      </c>
      <c r="F9" s="18" t="s">
        <v>87</v>
      </c>
      <c r="G9" s="19">
        <v>2600000</v>
      </c>
      <c r="H9" s="43">
        <v>0</v>
      </c>
      <c r="I9" s="40" t="s">
        <v>112</v>
      </c>
      <c r="J9" s="46" t="s">
        <v>111</v>
      </c>
    </row>
    <row r="10" spans="1:10" x14ac:dyDescent="0.3">
      <c r="A10" s="28">
        <v>5</v>
      </c>
      <c r="B10" s="14" t="s">
        <v>99</v>
      </c>
      <c r="C10" s="13">
        <v>26538776</v>
      </c>
      <c r="D10" s="13" t="s">
        <v>70</v>
      </c>
      <c r="E10" s="13">
        <v>3257665</v>
      </c>
      <c r="F10" s="13" t="s">
        <v>75</v>
      </c>
      <c r="G10" s="7">
        <v>1600000</v>
      </c>
      <c r="H10" s="43">
        <f>(5594000+272000)*0.25</f>
        <v>1466500</v>
      </c>
      <c r="I10" s="39">
        <f t="shared" ref="I10:I52" si="1">FLOOR(MIN(G10,H10),1000)</f>
        <v>1466000</v>
      </c>
      <c r="J10" s="34" t="s">
        <v>113</v>
      </c>
    </row>
    <row r="11" spans="1:10" x14ac:dyDescent="0.3">
      <c r="A11" s="28">
        <v>5</v>
      </c>
      <c r="B11" s="14" t="s">
        <v>99</v>
      </c>
      <c r="C11" s="13">
        <v>26538776</v>
      </c>
      <c r="D11" s="13" t="s">
        <v>70</v>
      </c>
      <c r="E11" s="13">
        <v>6725396</v>
      </c>
      <c r="F11" s="13" t="s">
        <v>75</v>
      </c>
      <c r="G11" s="7">
        <v>600000</v>
      </c>
      <c r="H11" s="43">
        <f>(1864000+90000)*0.25</f>
        <v>488500</v>
      </c>
      <c r="I11" s="39">
        <f t="shared" si="1"/>
        <v>488000</v>
      </c>
      <c r="J11" s="34" t="s">
        <v>113</v>
      </c>
    </row>
    <row r="12" spans="1:10" x14ac:dyDescent="0.3">
      <c r="A12" s="28">
        <v>9</v>
      </c>
      <c r="B12" s="14" t="s">
        <v>94</v>
      </c>
      <c r="C12" s="13">
        <v>27023583</v>
      </c>
      <c r="D12" s="13" t="s">
        <v>70</v>
      </c>
      <c r="E12" s="13">
        <v>3384659</v>
      </c>
      <c r="F12" s="13" t="s">
        <v>95</v>
      </c>
      <c r="G12" s="7">
        <v>838000</v>
      </c>
      <c r="H12" s="43">
        <f>(3355000+74000)*0.25</f>
        <v>857250</v>
      </c>
      <c r="I12" s="39">
        <f t="shared" si="1"/>
        <v>838000</v>
      </c>
      <c r="J12" s="34"/>
    </row>
    <row r="13" spans="1:10" x14ac:dyDescent="0.3">
      <c r="A13" s="28">
        <v>9</v>
      </c>
      <c r="B13" s="14" t="s">
        <v>94</v>
      </c>
      <c r="C13" s="13">
        <v>27023583</v>
      </c>
      <c r="D13" s="13" t="s">
        <v>70</v>
      </c>
      <c r="E13" s="13">
        <v>6178882</v>
      </c>
      <c r="F13" s="13" t="s">
        <v>75</v>
      </c>
      <c r="G13" s="7">
        <v>1476000</v>
      </c>
      <c r="H13" s="43">
        <f>(6215000+105000)*0.25</f>
        <v>1580000</v>
      </c>
      <c r="I13" s="39">
        <f t="shared" si="1"/>
        <v>1476000</v>
      </c>
      <c r="J13" s="34"/>
    </row>
    <row r="14" spans="1:10" x14ac:dyDescent="0.3">
      <c r="A14" s="28">
        <v>7</v>
      </c>
      <c r="B14" s="11" t="s">
        <v>97</v>
      </c>
      <c r="C14" s="12">
        <v>70858543</v>
      </c>
      <c r="D14" s="12" t="s">
        <v>81</v>
      </c>
      <c r="E14" s="12">
        <v>8115230</v>
      </c>
      <c r="F14" s="12" t="s">
        <v>95</v>
      </c>
      <c r="G14" s="7">
        <v>1363000</v>
      </c>
      <c r="H14" s="43">
        <f>(2150000+62000)*0.25</f>
        <v>553000</v>
      </c>
      <c r="I14" s="39">
        <f t="shared" si="1"/>
        <v>553000</v>
      </c>
      <c r="J14" s="34" t="s">
        <v>113</v>
      </c>
    </row>
    <row r="15" spans="1:10" x14ac:dyDescent="0.3">
      <c r="A15" s="28">
        <v>7</v>
      </c>
      <c r="B15" s="14" t="s">
        <v>97</v>
      </c>
      <c r="C15" s="13">
        <v>70858543</v>
      </c>
      <c r="D15" s="13" t="s">
        <v>81</v>
      </c>
      <c r="E15" s="13">
        <v>6644695</v>
      </c>
      <c r="F15" s="13" t="s">
        <v>75</v>
      </c>
      <c r="G15" s="7">
        <v>537000</v>
      </c>
      <c r="H15" s="43">
        <f>(7147000+347000)*0.25</f>
        <v>1873500</v>
      </c>
      <c r="I15" s="39">
        <f t="shared" si="1"/>
        <v>537000</v>
      </c>
      <c r="J15" s="34"/>
    </row>
    <row r="16" spans="1:10" x14ac:dyDescent="0.3">
      <c r="A16" s="28">
        <v>17</v>
      </c>
      <c r="B16" s="14" t="s">
        <v>82</v>
      </c>
      <c r="C16" s="13">
        <v>22707328</v>
      </c>
      <c r="D16" s="13" t="s">
        <v>77</v>
      </c>
      <c r="E16" s="13">
        <v>7577792</v>
      </c>
      <c r="F16" s="13" t="s">
        <v>79</v>
      </c>
      <c r="G16" s="7">
        <v>110000</v>
      </c>
      <c r="H16" s="43">
        <f>442000*0.25</f>
        <v>110500</v>
      </c>
      <c r="I16" s="39">
        <f t="shared" si="1"/>
        <v>110000</v>
      </c>
      <c r="J16" s="34"/>
    </row>
    <row r="17" spans="1:10" x14ac:dyDescent="0.3">
      <c r="A17" s="28">
        <v>17</v>
      </c>
      <c r="B17" s="14" t="s">
        <v>82</v>
      </c>
      <c r="C17" s="13">
        <v>22707328</v>
      </c>
      <c r="D17" s="13" t="s">
        <v>77</v>
      </c>
      <c r="E17" s="13">
        <v>8209586</v>
      </c>
      <c r="F17" s="13" t="s">
        <v>72</v>
      </c>
      <c r="G17" s="7">
        <v>391000</v>
      </c>
      <c r="H17" s="43">
        <f>(1173000+90000)*0.25</f>
        <v>315750</v>
      </c>
      <c r="I17" s="39">
        <f t="shared" si="1"/>
        <v>315000</v>
      </c>
      <c r="J17" s="34" t="s">
        <v>113</v>
      </c>
    </row>
    <row r="18" spans="1:10" x14ac:dyDescent="0.3">
      <c r="A18" s="28">
        <v>14</v>
      </c>
      <c r="B18" s="14" t="s">
        <v>88</v>
      </c>
      <c r="C18" s="13">
        <v>28138520</v>
      </c>
      <c r="D18" s="13" t="s">
        <v>77</v>
      </c>
      <c r="E18" s="13">
        <v>5088874</v>
      </c>
      <c r="F18" s="13" t="s">
        <v>89</v>
      </c>
      <c r="G18" s="7">
        <v>249500</v>
      </c>
      <c r="H18" s="43">
        <f>1069000*0.25</f>
        <v>267250</v>
      </c>
      <c r="I18" s="39">
        <f t="shared" si="1"/>
        <v>249000</v>
      </c>
      <c r="J18" s="34"/>
    </row>
    <row r="19" spans="1:10" x14ac:dyDescent="0.3">
      <c r="A19" s="28">
        <v>10</v>
      </c>
      <c r="B19" s="14" t="s">
        <v>93</v>
      </c>
      <c r="C19" s="13">
        <v>70812187</v>
      </c>
      <c r="D19" s="13" t="s">
        <v>77</v>
      </c>
      <c r="E19" s="13">
        <v>3503896</v>
      </c>
      <c r="F19" s="13" t="s">
        <v>74</v>
      </c>
      <c r="G19" s="7">
        <v>550000</v>
      </c>
      <c r="H19" s="43">
        <f>(2559000+108000)*0.25</f>
        <v>666750</v>
      </c>
      <c r="I19" s="39">
        <f t="shared" si="1"/>
        <v>550000</v>
      </c>
      <c r="J19" s="34"/>
    </row>
    <row r="20" spans="1:10" x14ac:dyDescent="0.3">
      <c r="A20" s="28">
        <v>2</v>
      </c>
      <c r="B20" s="14" t="s">
        <v>105</v>
      </c>
      <c r="C20" s="13">
        <v>26594463</v>
      </c>
      <c r="D20" s="13" t="s">
        <v>77</v>
      </c>
      <c r="E20" s="13">
        <v>2863115</v>
      </c>
      <c r="F20" s="13" t="s">
        <v>79</v>
      </c>
      <c r="G20" s="7">
        <v>126000</v>
      </c>
      <c r="H20" s="43">
        <f>(590000+25000)*0.25</f>
        <v>153750</v>
      </c>
      <c r="I20" s="39">
        <f t="shared" si="1"/>
        <v>126000</v>
      </c>
      <c r="J20" s="34"/>
    </row>
    <row r="21" spans="1:10" x14ac:dyDescent="0.3">
      <c r="A21" s="28">
        <v>2</v>
      </c>
      <c r="B21" s="14" t="s">
        <v>105</v>
      </c>
      <c r="C21" s="13">
        <v>26594463</v>
      </c>
      <c r="D21" s="13" t="s">
        <v>77</v>
      </c>
      <c r="E21" s="13">
        <v>3625886</v>
      </c>
      <c r="F21" s="13" t="s">
        <v>79</v>
      </c>
      <c r="G21" s="7">
        <v>106000</v>
      </c>
      <c r="H21" s="43">
        <f>472000*0.25</f>
        <v>118000</v>
      </c>
      <c r="I21" s="39">
        <f t="shared" si="1"/>
        <v>106000</v>
      </c>
      <c r="J21" s="34"/>
    </row>
    <row r="22" spans="1:10" x14ac:dyDescent="0.3">
      <c r="A22" s="28">
        <v>2</v>
      </c>
      <c r="B22" s="14" t="s">
        <v>105</v>
      </c>
      <c r="C22" s="13">
        <v>26594463</v>
      </c>
      <c r="D22" s="13" t="s">
        <v>77</v>
      </c>
      <c r="E22" s="13">
        <v>4336972</v>
      </c>
      <c r="F22" s="13" t="s">
        <v>79</v>
      </c>
      <c r="G22" s="7">
        <v>126000</v>
      </c>
      <c r="H22" s="43">
        <f>590000*0.25</f>
        <v>147500</v>
      </c>
      <c r="I22" s="39">
        <f t="shared" si="1"/>
        <v>126000</v>
      </c>
      <c r="J22" s="34"/>
    </row>
    <row r="23" spans="1:10" x14ac:dyDescent="0.3">
      <c r="A23" s="28">
        <v>2</v>
      </c>
      <c r="B23" s="11" t="s">
        <v>105</v>
      </c>
      <c r="C23" s="12">
        <v>26594463</v>
      </c>
      <c r="D23" s="12" t="s">
        <v>77</v>
      </c>
      <c r="E23" s="12">
        <v>8373801</v>
      </c>
      <c r="F23" s="12" t="s">
        <v>79</v>
      </c>
      <c r="G23" s="7">
        <v>126000</v>
      </c>
      <c r="H23" s="43">
        <f>590000*0.25</f>
        <v>147500</v>
      </c>
      <c r="I23" s="39">
        <f t="shared" si="1"/>
        <v>126000</v>
      </c>
      <c r="J23" s="34"/>
    </row>
    <row r="24" spans="1:10" x14ac:dyDescent="0.3">
      <c r="A24" s="28">
        <v>2</v>
      </c>
      <c r="B24" s="14" t="s">
        <v>105</v>
      </c>
      <c r="C24" s="13">
        <v>26594463</v>
      </c>
      <c r="D24" s="13" t="s">
        <v>77</v>
      </c>
      <c r="E24" s="13">
        <v>9171996</v>
      </c>
      <c r="F24" s="13" t="s">
        <v>79</v>
      </c>
      <c r="G24" s="7">
        <v>142000</v>
      </c>
      <c r="H24" s="43">
        <f>(590000+25000)*0.25</f>
        <v>153750</v>
      </c>
      <c r="I24" s="39">
        <f t="shared" si="1"/>
        <v>142000</v>
      </c>
      <c r="J24" s="34"/>
    </row>
    <row r="25" spans="1:10" x14ac:dyDescent="0.3">
      <c r="A25" s="28">
        <v>2</v>
      </c>
      <c r="B25" s="11" t="s">
        <v>105</v>
      </c>
      <c r="C25" s="12">
        <v>26594463</v>
      </c>
      <c r="D25" s="12" t="s">
        <v>77</v>
      </c>
      <c r="E25" s="12">
        <v>9280977</v>
      </c>
      <c r="F25" s="12" t="s">
        <v>79</v>
      </c>
      <c r="G25" s="7">
        <v>130000</v>
      </c>
      <c r="H25" s="43">
        <f>(590000+28000)*0.25</f>
        <v>154500</v>
      </c>
      <c r="I25" s="39">
        <f t="shared" si="1"/>
        <v>130000</v>
      </c>
      <c r="J25" s="34"/>
    </row>
    <row r="26" spans="1:10" x14ac:dyDescent="0.3">
      <c r="A26" s="28">
        <v>2</v>
      </c>
      <c r="B26" s="14" t="s">
        <v>105</v>
      </c>
      <c r="C26" s="13">
        <v>26594463</v>
      </c>
      <c r="D26" s="13" t="s">
        <v>77</v>
      </c>
      <c r="E26" s="13">
        <v>2503455</v>
      </c>
      <c r="F26" s="13" t="s">
        <v>73</v>
      </c>
      <c r="G26" s="7">
        <v>303000</v>
      </c>
      <c r="H26" s="43">
        <f>(884000+87000)*0.25</f>
        <v>242750</v>
      </c>
      <c r="I26" s="39">
        <f t="shared" si="1"/>
        <v>242000</v>
      </c>
      <c r="J26" s="34" t="s">
        <v>113</v>
      </c>
    </row>
    <row r="27" spans="1:10" x14ac:dyDescent="0.3">
      <c r="A27" s="28">
        <v>11</v>
      </c>
      <c r="B27" s="14" t="s">
        <v>92</v>
      </c>
      <c r="C27" s="13">
        <v>28068955</v>
      </c>
      <c r="D27" s="13" t="s">
        <v>77</v>
      </c>
      <c r="E27" s="13">
        <v>1180495</v>
      </c>
      <c r="F27" s="13" t="s">
        <v>89</v>
      </c>
      <c r="G27" s="7">
        <v>5000000</v>
      </c>
      <c r="H27" s="43">
        <f>(32702000+2773000)*0.25</f>
        <v>8868750</v>
      </c>
      <c r="I27" s="39">
        <f t="shared" si="1"/>
        <v>5000000</v>
      </c>
      <c r="J27" s="34"/>
    </row>
    <row r="28" spans="1:10" x14ac:dyDescent="0.3">
      <c r="A28" s="28">
        <v>13</v>
      </c>
      <c r="B28" s="14" t="s">
        <v>90</v>
      </c>
      <c r="C28" s="13">
        <v>28136233</v>
      </c>
      <c r="D28" s="13" t="s">
        <v>77</v>
      </c>
      <c r="E28" s="13">
        <v>6481063</v>
      </c>
      <c r="F28" s="13" t="s">
        <v>75</v>
      </c>
      <c r="G28" s="7">
        <v>289000</v>
      </c>
      <c r="H28" s="43">
        <f>1159000*0.25</f>
        <v>289750</v>
      </c>
      <c r="I28" s="39">
        <f t="shared" si="1"/>
        <v>289000</v>
      </c>
      <c r="J28" s="34"/>
    </row>
    <row r="29" spans="1:10" x14ac:dyDescent="0.3">
      <c r="A29" s="28">
        <v>4</v>
      </c>
      <c r="B29" s="11" t="s">
        <v>100</v>
      </c>
      <c r="C29" s="12">
        <v>26633582</v>
      </c>
      <c r="D29" s="12" t="s">
        <v>70</v>
      </c>
      <c r="E29" s="12">
        <v>3474981</v>
      </c>
      <c r="F29" s="12" t="s">
        <v>95</v>
      </c>
      <c r="G29" s="7">
        <v>1000000</v>
      </c>
      <c r="H29" s="43">
        <f>(5400000+320000)*0.25</f>
        <v>1430000</v>
      </c>
      <c r="I29" s="39">
        <f t="shared" si="1"/>
        <v>1000000</v>
      </c>
      <c r="J29" s="34"/>
    </row>
    <row r="30" spans="1:10" x14ac:dyDescent="0.3">
      <c r="A30" s="28">
        <v>12</v>
      </c>
      <c r="B30" s="14" t="s">
        <v>91</v>
      </c>
      <c r="C30" s="13">
        <v>2424282</v>
      </c>
      <c r="D30" s="13" t="s">
        <v>77</v>
      </c>
      <c r="E30" s="13">
        <v>6425072</v>
      </c>
      <c r="F30" s="13" t="s">
        <v>79</v>
      </c>
      <c r="G30" s="7">
        <v>265500</v>
      </c>
      <c r="H30" s="43">
        <f>1003000*0.25</f>
        <v>250750</v>
      </c>
      <c r="I30" s="39">
        <f t="shared" si="1"/>
        <v>250000</v>
      </c>
      <c r="J30" s="34" t="s">
        <v>113</v>
      </c>
    </row>
    <row r="31" spans="1:10" x14ac:dyDescent="0.3">
      <c r="A31" s="28">
        <v>3</v>
      </c>
      <c r="B31" s="14" t="s">
        <v>101</v>
      </c>
      <c r="C31" s="13">
        <v>69100641</v>
      </c>
      <c r="D31" s="13" t="s">
        <v>70</v>
      </c>
      <c r="E31" s="13">
        <v>2095617</v>
      </c>
      <c r="F31" s="13" t="s">
        <v>102</v>
      </c>
      <c r="G31" s="7">
        <v>446750</v>
      </c>
      <c r="H31" s="43">
        <f>1787000*0.25</f>
        <v>446750</v>
      </c>
      <c r="I31" s="39">
        <f t="shared" si="1"/>
        <v>446000</v>
      </c>
      <c r="J31" s="34"/>
    </row>
    <row r="32" spans="1:10" x14ac:dyDescent="0.3">
      <c r="A32" s="28">
        <v>3</v>
      </c>
      <c r="B32" s="14" t="s">
        <v>101</v>
      </c>
      <c r="C32" s="13">
        <v>69100641</v>
      </c>
      <c r="D32" s="13" t="s">
        <v>70</v>
      </c>
      <c r="E32" s="13">
        <v>7080340</v>
      </c>
      <c r="F32" s="13" t="s">
        <v>102</v>
      </c>
      <c r="G32" s="7">
        <v>764750</v>
      </c>
      <c r="H32" s="43">
        <f>3059000*0.25</f>
        <v>764750</v>
      </c>
      <c r="I32" s="39">
        <f t="shared" si="1"/>
        <v>764000</v>
      </c>
      <c r="J32" s="34"/>
    </row>
    <row r="33" spans="1:10" x14ac:dyDescent="0.3">
      <c r="A33" s="28">
        <v>3</v>
      </c>
      <c r="B33" s="14" t="s">
        <v>101</v>
      </c>
      <c r="C33" s="13">
        <v>69100641</v>
      </c>
      <c r="D33" s="13" t="s">
        <v>70</v>
      </c>
      <c r="E33" s="13">
        <v>7872547</v>
      </c>
      <c r="F33" s="13" t="s">
        <v>102</v>
      </c>
      <c r="G33" s="7">
        <v>551000</v>
      </c>
      <c r="H33" s="43">
        <f>2204000*0.25</f>
        <v>551000</v>
      </c>
      <c r="I33" s="39">
        <f t="shared" si="1"/>
        <v>551000</v>
      </c>
      <c r="J33" s="34"/>
    </row>
    <row r="34" spans="1:10" x14ac:dyDescent="0.3">
      <c r="A34" s="28">
        <v>3</v>
      </c>
      <c r="B34" s="14" t="s">
        <v>101</v>
      </c>
      <c r="C34" s="13">
        <v>69100641</v>
      </c>
      <c r="D34" s="13" t="s">
        <v>70</v>
      </c>
      <c r="E34" s="13">
        <v>3758214</v>
      </c>
      <c r="F34" s="13" t="s">
        <v>103</v>
      </c>
      <c r="G34" s="7">
        <v>431000</v>
      </c>
      <c r="H34" s="43">
        <f>1778000*0.25</f>
        <v>444500</v>
      </c>
      <c r="I34" s="39">
        <f t="shared" si="1"/>
        <v>431000</v>
      </c>
      <c r="J34" s="34"/>
    </row>
    <row r="35" spans="1:10" x14ac:dyDescent="0.3">
      <c r="A35" s="28">
        <v>3</v>
      </c>
      <c r="B35" s="14" t="s">
        <v>101</v>
      </c>
      <c r="C35" s="13">
        <v>69100641</v>
      </c>
      <c r="D35" s="13" t="s">
        <v>70</v>
      </c>
      <c r="E35" s="13">
        <v>4388638</v>
      </c>
      <c r="F35" s="13" t="s">
        <v>103</v>
      </c>
      <c r="G35" s="7">
        <v>292250</v>
      </c>
      <c r="H35" s="43">
        <f>1145000*0.25</f>
        <v>286250</v>
      </c>
      <c r="I35" s="39">
        <f t="shared" si="1"/>
        <v>286000</v>
      </c>
      <c r="J35" s="34" t="s">
        <v>113</v>
      </c>
    </row>
    <row r="36" spans="1:10" x14ac:dyDescent="0.3">
      <c r="A36" s="28">
        <v>3</v>
      </c>
      <c r="B36" s="14" t="s">
        <v>101</v>
      </c>
      <c r="C36" s="13">
        <v>69100641</v>
      </c>
      <c r="D36" s="13" t="s">
        <v>70</v>
      </c>
      <c r="E36" s="13">
        <v>5117574</v>
      </c>
      <c r="F36" s="13" t="s">
        <v>103</v>
      </c>
      <c r="G36" s="7">
        <v>205500</v>
      </c>
      <c r="H36" s="43">
        <f>1206000*0.25</f>
        <v>301500</v>
      </c>
      <c r="I36" s="39">
        <f t="shared" si="1"/>
        <v>205000</v>
      </c>
      <c r="J36" s="34"/>
    </row>
    <row r="37" spans="1:10" x14ac:dyDescent="0.3">
      <c r="A37" s="28">
        <v>3</v>
      </c>
      <c r="B37" s="11" t="s">
        <v>101</v>
      </c>
      <c r="C37" s="12">
        <v>69100641</v>
      </c>
      <c r="D37" s="12" t="s">
        <v>70</v>
      </c>
      <c r="E37" s="12">
        <v>4292320</v>
      </c>
      <c r="F37" s="12" t="s">
        <v>79</v>
      </c>
      <c r="G37" s="7">
        <v>54750</v>
      </c>
      <c r="H37" s="43">
        <f>118000*0.25</f>
        <v>29500</v>
      </c>
      <c r="I37" s="39">
        <f t="shared" si="1"/>
        <v>29000</v>
      </c>
      <c r="J37" s="34" t="s">
        <v>113</v>
      </c>
    </row>
    <row r="38" spans="1:10" x14ac:dyDescent="0.3">
      <c r="A38" s="28">
        <v>3</v>
      </c>
      <c r="B38" s="14" t="s">
        <v>101</v>
      </c>
      <c r="C38" s="13">
        <v>69100641</v>
      </c>
      <c r="D38" s="13" t="s">
        <v>70</v>
      </c>
      <c r="E38" s="13">
        <v>5285965</v>
      </c>
      <c r="F38" s="13" t="s">
        <v>79</v>
      </c>
      <c r="G38" s="7">
        <v>103250</v>
      </c>
      <c r="H38" s="43">
        <f>413000*0.25</f>
        <v>103250</v>
      </c>
      <c r="I38" s="39">
        <f t="shared" si="1"/>
        <v>103000</v>
      </c>
      <c r="J38" s="34"/>
    </row>
    <row r="39" spans="1:10" x14ac:dyDescent="0.3">
      <c r="A39" s="28">
        <v>3</v>
      </c>
      <c r="B39" s="11" t="s">
        <v>101</v>
      </c>
      <c r="C39" s="12">
        <v>69100641</v>
      </c>
      <c r="D39" s="12" t="s">
        <v>70</v>
      </c>
      <c r="E39" s="12">
        <v>5775251</v>
      </c>
      <c r="F39" s="12" t="s">
        <v>79</v>
      </c>
      <c r="G39" s="7">
        <v>309750</v>
      </c>
      <c r="H39" s="43">
        <f>1888000*0.25</f>
        <v>472000</v>
      </c>
      <c r="I39" s="39">
        <f t="shared" si="1"/>
        <v>309000</v>
      </c>
      <c r="J39" s="34"/>
    </row>
    <row r="40" spans="1:10" x14ac:dyDescent="0.3">
      <c r="A40" s="28">
        <v>3</v>
      </c>
      <c r="B40" s="11" t="s">
        <v>101</v>
      </c>
      <c r="C40" s="12">
        <v>69100641</v>
      </c>
      <c r="D40" s="12" t="s">
        <v>70</v>
      </c>
      <c r="E40" s="12">
        <v>5787847</v>
      </c>
      <c r="F40" s="12" t="s">
        <v>79</v>
      </c>
      <c r="G40" s="7">
        <v>221250</v>
      </c>
      <c r="H40" s="43">
        <f>944000*0.25</f>
        <v>236000</v>
      </c>
      <c r="I40" s="39">
        <f t="shared" si="1"/>
        <v>221000</v>
      </c>
      <c r="J40" s="34"/>
    </row>
    <row r="41" spans="1:10" x14ac:dyDescent="0.3">
      <c r="A41" s="28">
        <v>3</v>
      </c>
      <c r="B41" s="14" t="s">
        <v>101</v>
      </c>
      <c r="C41" s="13">
        <v>69100641</v>
      </c>
      <c r="D41" s="13" t="s">
        <v>70</v>
      </c>
      <c r="E41" s="13">
        <v>2481681</v>
      </c>
      <c r="F41" s="13" t="s">
        <v>104</v>
      </c>
      <c r="G41" s="47">
        <v>1619750</v>
      </c>
      <c r="H41" s="43">
        <f>(6479000+0)*0.25</f>
        <v>1619750</v>
      </c>
      <c r="I41" s="48">
        <f t="shared" si="1"/>
        <v>1619000</v>
      </c>
      <c r="J41" s="34"/>
    </row>
    <row r="42" spans="1:10" x14ac:dyDescent="0.3">
      <c r="A42" s="28">
        <v>18</v>
      </c>
      <c r="B42" s="14" t="s">
        <v>80</v>
      </c>
      <c r="C42" s="13">
        <v>7118686</v>
      </c>
      <c r="D42" s="13" t="s">
        <v>81</v>
      </c>
      <c r="E42" s="15">
        <v>4365932</v>
      </c>
      <c r="F42" s="15" t="s">
        <v>72</v>
      </c>
      <c r="G42" s="47">
        <v>200000</v>
      </c>
      <c r="H42" s="43">
        <v>200000</v>
      </c>
      <c r="I42" s="48">
        <f t="shared" si="1"/>
        <v>200000</v>
      </c>
      <c r="J42" s="45"/>
    </row>
    <row r="43" spans="1:10" x14ac:dyDescent="0.3">
      <c r="A43" s="28">
        <v>19</v>
      </c>
      <c r="B43" s="14" t="s">
        <v>76</v>
      </c>
      <c r="C43" s="13">
        <v>26562731</v>
      </c>
      <c r="D43" s="13" t="s">
        <v>77</v>
      </c>
      <c r="E43" s="13">
        <v>9371774</v>
      </c>
      <c r="F43" s="13" t="s">
        <v>78</v>
      </c>
      <c r="G43" s="7">
        <v>230000</v>
      </c>
      <c r="H43" s="43">
        <f>(968000+39000)*0.25</f>
        <v>251750</v>
      </c>
      <c r="I43" s="39">
        <f t="shared" si="1"/>
        <v>230000</v>
      </c>
      <c r="J43" s="34"/>
    </row>
    <row r="44" spans="1:10" x14ac:dyDescent="0.3">
      <c r="A44" s="28">
        <v>19</v>
      </c>
      <c r="B44" s="14" t="s">
        <v>76</v>
      </c>
      <c r="C44" s="13">
        <v>26562731</v>
      </c>
      <c r="D44" s="13" t="s">
        <v>77</v>
      </c>
      <c r="E44" s="13">
        <v>3306005</v>
      </c>
      <c r="F44" s="13" t="s">
        <v>79</v>
      </c>
      <c r="G44" s="7">
        <v>130000</v>
      </c>
      <c r="H44" s="43">
        <f>(283000+14000)*0.25</f>
        <v>74250</v>
      </c>
      <c r="I44" s="39">
        <f t="shared" si="1"/>
        <v>74000</v>
      </c>
      <c r="J44" s="34" t="s">
        <v>113</v>
      </c>
    </row>
    <row r="45" spans="1:10" x14ac:dyDescent="0.3">
      <c r="A45" s="28">
        <v>19</v>
      </c>
      <c r="B45" s="14" t="s">
        <v>76</v>
      </c>
      <c r="C45" s="13">
        <v>26562731</v>
      </c>
      <c r="D45" s="13" t="s">
        <v>77</v>
      </c>
      <c r="E45" s="13">
        <v>7931741</v>
      </c>
      <c r="F45" s="13" t="s">
        <v>79</v>
      </c>
      <c r="G45" s="7">
        <v>600000</v>
      </c>
      <c r="H45" s="43">
        <f>(2337000+119000)*0.25</f>
        <v>614000</v>
      </c>
      <c r="I45" s="39">
        <f t="shared" si="1"/>
        <v>600000</v>
      </c>
      <c r="J45" s="34"/>
    </row>
    <row r="46" spans="1:10" x14ac:dyDescent="0.3">
      <c r="A46" s="28">
        <v>19</v>
      </c>
      <c r="B46" s="14" t="s">
        <v>76</v>
      </c>
      <c r="C46" s="13">
        <v>26562731</v>
      </c>
      <c r="D46" s="13" t="s">
        <v>77</v>
      </c>
      <c r="E46" s="15">
        <v>8826190</v>
      </c>
      <c r="F46" s="15" t="s">
        <v>79</v>
      </c>
      <c r="G46" s="7">
        <v>290000</v>
      </c>
      <c r="H46" s="43">
        <f>(1062000+54000)*0.25</f>
        <v>279000</v>
      </c>
      <c r="I46" s="39">
        <f t="shared" si="1"/>
        <v>279000</v>
      </c>
      <c r="J46" s="34" t="s">
        <v>113</v>
      </c>
    </row>
    <row r="47" spans="1:10" x14ac:dyDescent="0.3">
      <c r="A47" s="28">
        <v>1</v>
      </c>
      <c r="B47" s="14" t="s">
        <v>106</v>
      </c>
      <c r="C47" s="13">
        <v>26026848</v>
      </c>
      <c r="D47" s="13" t="s">
        <v>77</v>
      </c>
      <c r="E47" s="13">
        <v>4576938</v>
      </c>
      <c r="F47" s="13" t="s">
        <v>79</v>
      </c>
      <c r="G47" s="7">
        <v>250000</v>
      </c>
      <c r="H47" s="43">
        <f>(472000+24000)*0.25</f>
        <v>124000</v>
      </c>
      <c r="I47" s="39">
        <f t="shared" si="1"/>
        <v>124000</v>
      </c>
      <c r="J47" s="34" t="s">
        <v>113</v>
      </c>
    </row>
    <row r="48" spans="1:10" x14ac:dyDescent="0.3">
      <c r="A48" s="28">
        <v>1</v>
      </c>
      <c r="B48" s="11" t="s">
        <v>106</v>
      </c>
      <c r="C48" s="12">
        <v>26026848</v>
      </c>
      <c r="D48" s="12" t="s">
        <v>77</v>
      </c>
      <c r="E48" s="12">
        <v>4843535</v>
      </c>
      <c r="F48" s="12" t="s">
        <v>84</v>
      </c>
      <c r="G48" s="7">
        <v>225000</v>
      </c>
      <c r="H48" s="43">
        <f>(1024000+46000)*0.25</f>
        <v>267500</v>
      </c>
      <c r="I48" s="39">
        <f t="shared" si="1"/>
        <v>225000</v>
      </c>
      <c r="J48" s="34"/>
    </row>
    <row r="49" spans="1:10" x14ac:dyDescent="0.3">
      <c r="A49" s="28">
        <v>1</v>
      </c>
      <c r="B49" s="14" t="s">
        <v>106</v>
      </c>
      <c r="C49" s="13">
        <v>26026848</v>
      </c>
      <c r="D49" s="13" t="s">
        <v>77</v>
      </c>
      <c r="E49" s="13">
        <v>3281697</v>
      </c>
      <c r="F49" s="13" t="s">
        <v>75</v>
      </c>
      <c r="G49" s="7">
        <v>400000</v>
      </c>
      <c r="H49" s="43">
        <f>(1647000+80000)*0.25</f>
        <v>431750</v>
      </c>
      <c r="I49" s="39">
        <f t="shared" si="1"/>
        <v>400000</v>
      </c>
      <c r="J49" s="34"/>
    </row>
    <row r="50" spans="1:10" x14ac:dyDescent="0.3">
      <c r="A50" s="28">
        <v>8</v>
      </c>
      <c r="B50" s="14" t="s">
        <v>96</v>
      </c>
      <c r="C50" s="13">
        <v>28090080</v>
      </c>
      <c r="D50" s="13" t="s">
        <v>77</v>
      </c>
      <c r="E50" s="13">
        <v>5353237</v>
      </c>
      <c r="F50" s="13" t="s">
        <v>71</v>
      </c>
      <c r="G50" s="7">
        <v>728000</v>
      </c>
      <c r="H50" s="43">
        <f>(2912000+145000)*0.25</f>
        <v>764250</v>
      </c>
      <c r="I50" s="39">
        <f t="shared" si="1"/>
        <v>728000</v>
      </c>
      <c r="J50" s="34"/>
    </row>
    <row r="51" spans="1:10" x14ac:dyDescent="0.3">
      <c r="A51" s="28">
        <v>8</v>
      </c>
      <c r="B51" s="14" t="s">
        <v>96</v>
      </c>
      <c r="C51" s="13">
        <v>28090080</v>
      </c>
      <c r="D51" s="13" t="s">
        <v>77</v>
      </c>
      <c r="E51" s="13">
        <v>4914293</v>
      </c>
      <c r="F51" s="13" t="s">
        <v>73</v>
      </c>
      <c r="G51" s="7">
        <v>537000</v>
      </c>
      <c r="H51" s="43">
        <f>(2026000+199000)*0.25</f>
        <v>556250</v>
      </c>
      <c r="I51" s="39">
        <f t="shared" si="1"/>
        <v>537000</v>
      </c>
      <c r="J51" s="34"/>
    </row>
    <row r="52" spans="1:10" ht="15" thickBot="1" x14ac:dyDescent="0.35">
      <c r="A52" s="29">
        <v>8</v>
      </c>
      <c r="B52" s="30" t="s">
        <v>96</v>
      </c>
      <c r="C52" s="31">
        <v>28090080</v>
      </c>
      <c r="D52" s="31" t="s">
        <v>77</v>
      </c>
      <c r="E52" s="31">
        <v>8037754</v>
      </c>
      <c r="F52" s="31" t="s">
        <v>74</v>
      </c>
      <c r="G52" s="32">
        <v>473000</v>
      </c>
      <c r="H52" s="44">
        <f>(1892000+86000)*0.25</f>
        <v>494500</v>
      </c>
      <c r="I52" s="41">
        <f t="shared" si="1"/>
        <v>473000</v>
      </c>
      <c r="J52" s="35"/>
    </row>
    <row r="53" spans="1:10" ht="15" thickBot="1" x14ac:dyDescent="0.35">
      <c r="G53" s="26">
        <f>SUM(G2:G52)</f>
        <v>31291000</v>
      </c>
      <c r="I53" s="42">
        <f>SUM(I2:I52)</f>
        <v>27253000</v>
      </c>
    </row>
    <row r="55" spans="1:10" x14ac:dyDescent="0.3">
      <c r="B55" t="s">
        <v>114</v>
      </c>
    </row>
  </sheetData>
  <autoFilter ref="B1:J53" xr:uid="{A455379D-5D8A-4A6A-A783-8F87F9643597}"/>
  <sortState xmlns:xlrd2="http://schemas.microsoft.com/office/spreadsheetml/2017/richdata2" ref="A2:K52">
    <sortCondition ref="B2:B52"/>
    <sortCondition ref="F2:F52"/>
    <sortCondition ref="E2:E52"/>
  </sortState>
  <pageMargins left="0.19685039370078741" right="0.19685039370078741" top="0.70866141732283472" bottom="0.59055118110236227" header="0.39370078740157483" footer="0.39370078740157483"/>
  <pageSetup paperSize="9" scale="82" fitToHeight="0" orientation="landscape" r:id="rId1"/>
  <headerFooter>
    <oddHeader>&amp;C&amp;"-,Tučné"&amp;12 NÁVRATNÁ FINANČNÍ VÝPOMOC pro rok 2022</oddHeader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Export</vt:lpstr>
      <vt:lpstr>Výpočet návrhu</vt:lpstr>
      <vt:lpstr>'Výpočet návrhu'!Názvy_tisku</vt:lpstr>
      <vt:lpstr>'Výpočet návrhu'!Oblast_tisku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Zumrová Renata</dc:creator>
  <cp:lastModifiedBy>Zumrová Renata</cp:lastModifiedBy>
  <cp:lastPrinted>2021-11-15T09:00:12Z</cp:lastPrinted>
  <dcterms:created xsi:type="dcterms:W3CDTF">2021-11-01T10:46:05Z</dcterms:created>
  <dcterms:modified xsi:type="dcterms:W3CDTF">2021-12-22T08:54:02Z</dcterms:modified>
</cp:coreProperties>
</file>