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da_zastupitelstvo\2024\vyúčtování 2023\"/>
    </mc:Choice>
  </mc:AlternateContent>
  <xr:revisionPtr revIDLastSave="0" documentId="13_ncr:1_{3121C74E-0363-4D81-A2EC-4EF1353E673C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tabulka" sheetId="1" r:id="rId1"/>
    <sheet name="CDV" sheetId="2" r:id="rId2"/>
    <sheet name="ČSAD AUTOBUSY" sheetId="3" r:id="rId3"/>
    <sheet name="průměr.CDV" sheetId="4" r:id="rId4"/>
    <sheet name="DPMČB 2022" sheetId="6" r:id="rId5"/>
  </sheets>
  <definedNames>
    <definedName name="_xlnm.Print_Area" localSheetId="0">tabulka!$B$1:$K$47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D11" i="6" l="1"/>
  <c r="D16" i="6" s="1"/>
  <c r="B11" i="6"/>
  <c r="C11" i="6"/>
  <c r="K78" i="1" l="1"/>
  <c r="K70" i="1"/>
  <c r="I76" i="1"/>
  <c r="I71" i="1"/>
  <c r="H76" i="1"/>
  <c r="K7" i="1"/>
  <c r="M30" i="1" l="1"/>
  <c r="H33" i="4"/>
  <c r="D39" i="4"/>
  <c r="M39" i="4" s="1"/>
  <c r="D38" i="4"/>
  <c r="M38" i="4" s="1"/>
  <c r="D37" i="4"/>
  <c r="D36" i="4"/>
  <c r="M36" i="4" s="1"/>
  <c r="D34" i="4"/>
  <c r="M34" i="4" s="1"/>
  <c r="I32" i="4"/>
  <c r="I33" i="4"/>
  <c r="I34" i="4"/>
  <c r="I36" i="4"/>
  <c r="H29" i="4"/>
  <c r="H30" i="4"/>
  <c r="H31" i="4"/>
  <c r="K29" i="4"/>
  <c r="M27" i="4"/>
  <c r="M33" i="4"/>
  <c r="M37" i="4"/>
  <c r="K31" i="4"/>
  <c r="K32" i="4"/>
  <c r="K33" i="4"/>
  <c r="K34" i="4"/>
  <c r="K36" i="4"/>
  <c r="K37" i="4"/>
  <c r="K38" i="4"/>
  <c r="K39" i="4"/>
  <c r="K27" i="4"/>
  <c r="F35" i="4"/>
  <c r="D35" i="4" s="1"/>
  <c r="M35" i="4" s="1"/>
  <c r="F31" i="4"/>
  <c r="I31" i="4" s="1"/>
  <c r="F30" i="4"/>
  <c r="I30" i="4" s="1"/>
  <c r="F29" i="4"/>
  <c r="I29" i="4" s="1"/>
  <c r="O27" i="4" l="1"/>
  <c r="M31" i="4"/>
  <c r="O31" i="4" s="1"/>
  <c r="O34" i="4"/>
  <c r="I35" i="4"/>
  <c r="O39" i="4"/>
  <c r="O37" i="4"/>
  <c r="H34" i="4"/>
  <c r="M30" i="4"/>
  <c r="O36" i="4"/>
  <c r="O33" i="4"/>
  <c r="M29" i="4"/>
  <c r="O38" i="4"/>
  <c r="H35" i="4"/>
  <c r="O35" i="4"/>
  <c r="O29" i="4"/>
  <c r="H28" i="4" l="1"/>
  <c r="B28" i="4"/>
  <c r="K28" i="4" s="1"/>
  <c r="F28" i="4"/>
  <c r="M28" i="4" s="1"/>
  <c r="O28" i="4" s="1"/>
  <c r="I28" i="4" l="1"/>
  <c r="H27" i="4"/>
  <c r="I27" i="4" l="1"/>
  <c r="I40" i="4" s="1"/>
  <c r="F40" i="4" l="1"/>
  <c r="I42" i="4" s="1"/>
  <c r="H36" i="4" l="1"/>
  <c r="H38" i="4"/>
  <c r="H37" i="4"/>
  <c r="H39" i="4"/>
  <c r="D32" i="4"/>
  <c r="C40" i="4"/>
  <c r="B30" i="4"/>
  <c r="K30" i="4" s="1"/>
  <c r="O30" i="4" s="1"/>
  <c r="B40" i="4" l="1"/>
  <c r="D40" i="4"/>
  <c r="M32" i="4"/>
  <c r="O32" i="4" s="1"/>
  <c r="H32" i="4"/>
  <c r="H40" i="4" s="1"/>
  <c r="M53" i="1"/>
  <c r="L53" i="1"/>
  <c r="M52" i="1"/>
  <c r="L52" i="1"/>
  <c r="M51" i="1"/>
  <c r="L51" i="1"/>
  <c r="H42" i="4" l="1"/>
  <c r="H44" i="4" s="1"/>
  <c r="K11" i="1"/>
  <c r="N6" i="1"/>
  <c r="K9" i="1"/>
  <c r="L15" i="1"/>
  <c r="K22" i="1"/>
  <c r="L13" i="1"/>
  <c r="C28" i="1"/>
  <c r="C29" i="1" l="1"/>
  <c r="K14" i="1" l="1"/>
  <c r="L14" i="1" s="1"/>
  <c r="P21" i="1" l="1"/>
  <c r="T14" i="1"/>
  <c r="I15" i="1" l="1"/>
  <c r="H15" i="1"/>
  <c r="K16" i="1" l="1"/>
  <c r="C34" i="1"/>
  <c r="C30" i="1"/>
  <c r="C44" i="1" l="1"/>
  <c r="C83" i="1"/>
  <c r="C71" i="1"/>
  <c r="C74" i="1" s="1"/>
  <c r="C77" i="1" s="1"/>
  <c r="O74" i="1"/>
  <c r="O77" i="1"/>
  <c r="O78" i="1"/>
  <c r="O79" i="1"/>
  <c r="O80" i="1"/>
  <c r="O81" i="1"/>
  <c r="O72" i="1"/>
  <c r="P76" i="1"/>
  <c r="O76" i="1" s="1"/>
  <c r="P75" i="1"/>
  <c r="O75" i="1" s="1"/>
  <c r="P73" i="1"/>
  <c r="O73" i="1" s="1"/>
  <c r="O57" i="1"/>
  <c r="O58" i="1"/>
  <c r="O59" i="1"/>
  <c r="O60" i="1"/>
  <c r="O61" i="1"/>
  <c r="O62" i="1"/>
  <c r="O63" i="1"/>
  <c r="O64" i="1"/>
  <c r="O65" i="1"/>
  <c r="O66" i="1"/>
  <c r="O55" i="1"/>
  <c r="P56" i="1"/>
  <c r="P67" i="1" s="1"/>
  <c r="O67" i="1" s="1"/>
  <c r="C42" i="1"/>
  <c r="H22" i="1"/>
  <c r="R30" i="1"/>
  <c r="G52" i="1"/>
  <c r="G53" i="1"/>
  <c r="G54" i="1"/>
  <c r="G55" i="1"/>
  <c r="G56" i="1"/>
  <c r="G57" i="1"/>
  <c r="G58" i="1"/>
  <c r="G59" i="1"/>
  <c r="G60" i="1"/>
  <c r="G61" i="1"/>
  <c r="G62" i="1"/>
  <c r="G63" i="1"/>
  <c r="G51" i="1"/>
  <c r="F52" i="1"/>
  <c r="F53" i="1"/>
  <c r="F54" i="1"/>
  <c r="F55" i="1"/>
  <c r="F56" i="1"/>
  <c r="F57" i="1"/>
  <c r="F58" i="1"/>
  <c r="F59" i="1"/>
  <c r="F60" i="1"/>
  <c r="F61" i="1"/>
  <c r="F62" i="1"/>
  <c r="F51" i="1"/>
  <c r="E65" i="1"/>
  <c r="G65" i="1" s="1"/>
  <c r="C63" i="1"/>
  <c r="C65" i="1" s="1"/>
  <c r="O56" i="1" l="1"/>
  <c r="F63" i="1"/>
  <c r="F65" i="1"/>
  <c r="P82" i="1"/>
  <c r="O82" i="1" s="1"/>
  <c r="D45" i="1"/>
  <c r="O15" i="1"/>
  <c r="H46" i="1"/>
  <c r="H29" i="1"/>
  <c r="I29" i="1" s="1"/>
  <c r="H30" i="1"/>
  <c r="H31" i="1"/>
  <c r="H32" i="1"/>
  <c r="H33" i="1"/>
  <c r="J9" i="1" s="1"/>
  <c r="H34" i="1"/>
  <c r="M34" i="1" s="1"/>
  <c r="N34" i="1" s="1"/>
  <c r="H35" i="1"/>
  <c r="H36" i="1"/>
  <c r="H37" i="1"/>
  <c r="H38" i="1"/>
  <c r="H39" i="1"/>
  <c r="M39" i="1" s="1"/>
  <c r="N39" i="1" s="1"/>
  <c r="H40" i="1"/>
  <c r="H28" i="1"/>
  <c r="C47" i="1"/>
  <c r="Q16" i="1" l="1"/>
  <c r="T12" i="1"/>
  <c r="T10" i="1"/>
  <c r="Q10" i="1"/>
  <c r="T8" i="1"/>
  <c r="Q8" i="1"/>
  <c r="T7" i="1"/>
  <c r="Q7" i="1"/>
  <c r="T6" i="1"/>
  <c r="Q6" i="1"/>
  <c r="T5" i="1"/>
  <c r="Q5" i="1"/>
  <c r="T4" i="1"/>
  <c r="Q4" i="1"/>
  <c r="H44" i="1" l="1"/>
  <c r="K44" i="1" l="1"/>
  <c r="V17" i="1" l="1"/>
  <c r="X16" i="1"/>
  <c r="W16" i="1"/>
  <c r="V16" i="1" s="1"/>
  <c r="X15" i="1"/>
  <c r="W15" i="1"/>
  <c r="V14" i="1"/>
  <c r="V13" i="1"/>
  <c r="Z12" i="1"/>
  <c r="W12" i="1"/>
  <c r="V11" i="1"/>
  <c r="AA10" i="1"/>
  <c r="Z10" i="1"/>
  <c r="X10" i="1"/>
  <c r="W10" i="1"/>
  <c r="V10" i="1" s="1"/>
  <c r="V9" i="1"/>
  <c r="AA8" i="1"/>
  <c r="Z8" i="1"/>
  <c r="X8" i="1"/>
  <c r="W8" i="1"/>
  <c r="AA7" i="1"/>
  <c r="Z7" i="1"/>
  <c r="X7" i="1"/>
  <c r="W7" i="1"/>
  <c r="AA6" i="1"/>
  <c r="Z6" i="1"/>
  <c r="X6" i="1"/>
  <c r="W6" i="1"/>
  <c r="AA5" i="1"/>
  <c r="Z5" i="1"/>
  <c r="X5" i="1"/>
  <c r="W5" i="1"/>
  <c r="AA4" i="1"/>
  <c r="Z4" i="1"/>
  <c r="X4" i="1"/>
  <c r="W4" i="1"/>
  <c r="J13" i="1"/>
  <c r="K38" i="1"/>
  <c r="O16" i="4"/>
  <c r="Q16" i="4"/>
  <c r="N2" i="4"/>
  <c r="R2" i="4" s="1"/>
  <c r="N3" i="4"/>
  <c r="R3" i="4" s="1"/>
  <c r="N4" i="4"/>
  <c r="R4" i="4" s="1"/>
  <c r="N5" i="4"/>
  <c r="R5" i="4" s="1"/>
  <c r="N6" i="4"/>
  <c r="R6" i="4" s="1"/>
  <c r="N7" i="4"/>
  <c r="R7" i="4" s="1"/>
  <c r="N8" i="4"/>
  <c r="R8" i="4" s="1"/>
  <c r="N9" i="4"/>
  <c r="R9" i="4" s="1"/>
  <c r="N10" i="4"/>
  <c r="R10" i="4" s="1"/>
  <c r="N11" i="4"/>
  <c r="R11" i="4" s="1"/>
  <c r="N12" i="4"/>
  <c r="R12" i="4" s="1"/>
  <c r="N13" i="4"/>
  <c r="R13" i="4" s="1"/>
  <c r="N14" i="4"/>
  <c r="R14" i="4" s="1"/>
  <c r="N15" i="4"/>
  <c r="R15" i="4" s="1"/>
  <c r="S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P16" i="4"/>
  <c r="M16" i="4"/>
  <c r="J7" i="1"/>
  <c r="C6" i="4"/>
  <c r="H6" i="4" s="1"/>
  <c r="E3" i="4"/>
  <c r="I3" i="4" s="1"/>
  <c r="E2" i="4"/>
  <c r="B8" i="4"/>
  <c r="C8" i="4" s="1"/>
  <c r="H8" i="4" s="1"/>
  <c r="B4" i="4"/>
  <c r="F16" i="4"/>
  <c r="D16" i="4"/>
  <c r="I15" i="4"/>
  <c r="C15" i="4"/>
  <c r="H15" i="4" s="1"/>
  <c r="I14" i="4"/>
  <c r="C14" i="4"/>
  <c r="H14" i="4" s="1"/>
  <c r="I13" i="4"/>
  <c r="C13" i="4"/>
  <c r="H13" i="4" s="1"/>
  <c r="J13" i="4" s="1"/>
  <c r="K13" i="4" s="1"/>
  <c r="I12" i="4"/>
  <c r="C12" i="4"/>
  <c r="H12" i="4" s="1"/>
  <c r="I11" i="4"/>
  <c r="C11" i="4"/>
  <c r="H11" i="4" s="1"/>
  <c r="I10" i="4"/>
  <c r="C10" i="4"/>
  <c r="H10" i="4" s="1"/>
  <c r="I9" i="4"/>
  <c r="C9" i="4"/>
  <c r="H9" i="4" s="1"/>
  <c r="I8" i="4"/>
  <c r="I7" i="4"/>
  <c r="C7" i="4"/>
  <c r="H7" i="4" s="1"/>
  <c r="I6" i="4"/>
  <c r="I5" i="4"/>
  <c r="H5" i="4"/>
  <c r="I4" i="4"/>
  <c r="H4" i="4"/>
  <c r="H3" i="4"/>
  <c r="I2" i="4"/>
  <c r="H2" i="4"/>
  <c r="J2" i="4" s="1"/>
  <c r="H45" i="1"/>
  <c r="J21" i="1" s="1"/>
  <c r="J22" i="1"/>
  <c r="C18" i="1"/>
  <c r="I11" i="1"/>
  <c r="I12" i="1"/>
  <c r="I13" i="1"/>
  <c r="I14" i="1"/>
  <c r="I9" i="1"/>
  <c r="G18" i="1"/>
  <c r="H4" i="1"/>
  <c r="K4" i="1" s="1"/>
  <c r="L4" i="1" s="1"/>
  <c r="H14" i="1"/>
  <c r="H9" i="1"/>
  <c r="H8" i="1"/>
  <c r="K8" i="1" s="1"/>
  <c r="L8" i="1" s="1"/>
  <c r="H12" i="1"/>
  <c r="K12" i="1" s="1"/>
  <c r="H11" i="1"/>
  <c r="H13" i="1"/>
  <c r="H6" i="1"/>
  <c r="K6" i="1" s="1"/>
  <c r="L6" i="1" s="1"/>
  <c r="H5" i="1"/>
  <c r="K5" i="1" s="1"/>
  <c r="L5" i="1" s="1"/>
  <c r="H7" i="1"/>
  <c r="G42" i="1"/>
  <c r="H16" i="1"/>
  <c r="H10" i="1"/>
  <c r="K10" i="1" s="1"/>
  <c r="F42" i="1"/>
  <c r="F18" i="1"/>
  <c r="I22" i="1"/>
  <c r="I5" i="1"/>
  <c r="I6" i="1"/>
  <c r="I7" i="1"/>
  <c r="I8" i="1"/>
  <c r="I10" i="1"/>
  <c r="I16" i="1"/>
  <c r="I4" i="1"/>
  <c r="I21" i="1"/>
  <c r="I14" i="3"/>
  <c r="F14" i="3"/>
  <c r="C14" i="3"/>
  <c r="G23" i="1"/>
  <c r="F23" i="1"/>
  <c r="E42" i="1"/>
  <c r="K46" i="1"/>
  <c r="E47" i="1"/>
  <c r="D18" i="1"/>
  <c r="E18" i="1"/>
  <c r="D47" i="1"/>
  <c r="C23" i="1"/>
  <c r="D23" i="1"/>
  <c r="D42" i="1"/>
  <c r="K45" i="1"/>
  <c r="J8" i="1"/>
  <c r="J11" i="1"/>
  <c r="J16" i="1"/>
  <c r="K36" i="1"/>
  <c r="K30" i="1"/>
  <c r="K28" i="1"/>
  <c r="K39" i="1"/>
  <c r="J15" i="1"/>
  <c r="K37" i="1"/>
  <c r="K33" i="1"/>
  <c r="K31" i="1"/>
  <c r="K29" i="1"/>
  <c r="J14" i="1"/>
  <c r="K35" i="1"/>
  <c r="K32" i="1"/>
  <c r="K40" i="1"/>
  <c r="H23" i="1"/>
  <c r="A5" i="1"/>
  <c r="A6" i="1" s="1"/>
  <c r="A13" i="1"/>
  <c r="A14" i="1" s="1"/>
  <c r="A15" i="1" s="1"/>
  <c r="A16" i="1" s="1"/>
  <c r="J20" i="1"/>
  <c r="K23" i="1"/>
  <c r="I20" i="1"/>
  <c r="J9" i="4" l="1"/>
  <c r="K9" i="4" s="1"/>
  <c r="J5" i="1"/>
  <c r="H47" i="1"/>
  <c r="B16" i="4"/>
  <c r="J14" i="4"/>
  <c r="K14" i="4" s="1"/>
  <c r="E16" i="4"/>
  <c r="C20" i="4" s="1"/>
  <c r="Y5" i="1"/>
  <c r="G15" i="3"/>
  <c r="J5" i="4"/>
  <c r="K5" i="4" s="1"/>
  <c r="Y6" i="1"/>
  <c r="J6" i="4"/>
  <c r="K6" i="4" s="1"/>
  <c r="J3" i="4"/>
  <c r="K3" i="4" s="1"/>
  <c r="J12" i="4"/>
  <c r="K12" i="4" s="1"/>
  <c r="V7" i="1"/>
  <c r="Y7" i="1"/>
  <c r="Y10" i="1"/>
  <c r="J8" i="4"/>
  <c r="K8" i="4" s="1"/>
  <c r="S16" i="4"/>
  <c r="S18" i="4" s="1"/>
  <c r="Y4" i="1"/>
  <c r="J10" i="1"/>
  <c r="L10" i="1"/>
  <c r="J12" i="1"/>
  <c r="L12" i="1"/>
  <c r="J11" i="4"/>
  <c r="K11" i="4" s="1"/>
  <c r="I16" i="4"/>
  <c r="J6" i="1"/>
  <c r="J4" i="4"/>
  <c r="K4" i="4" s="1"/>
  <c r="J10" i="4"/>
  <c r="K10" i="4" s="1"/>
  <c r="C16" i="4"/>
  <c r="C19" i="4" s="1"/>
  <c r="N16" i="4"/>
  <c r="M20" i="4" s="1"/>
  <c r="K18" i="1"/>
  <c r="J15" i="4"/>
  <c r="K15" i="4" s="1"/>
  <c r="V5" i="1"/>
  <c r="Y8" i="1"/>
  <c r="K2" i="4"/>
  <c r="J7" i="4"/>
  <c r="K7" i="4" s="1"/>
  <c r="H16" i="4"/>
  <c r="R16" i="4"/>
  <c r="J4" i="1"/>
  <c r="V4" i="1"/>
  <c r="V6" i="1"/>
  <c r="V8" i="1"/>
  <c r="V15" i="1"/>
  <c r="H18" i="1"/>
  <c r="J23" i="1"/>
  <c r="H42" i="1"/>
  <c r="K42" i="1" s="1"/>
  <c r="K34" i="1"/>
  <c r="K47" i="1"/>
  <c r="I23" i="1"/>
  <c r="I18" i="1"/>
  <c r="C21" i="4" l="1"/>
  <c r="D21" i="4" s="1"/>
  <c r="H19" i="4"/>
  <c r="H20" i="4" s="1"/>
  <c r="F22" i="4" s="1"/>
  <c r="L18" i="1"/>
  <c r="R18" i="4"/>
  <c r="R21" i="4" s="1"/>
  <c r="J16" i="4"/>
  <c r="K16" i="4" s="1"/>
  <c r="J18" i="1"/>
  <c r="Q12" i="1"/>
</calcChain>
</file>

<file path=xl/sharedStrings.xml><?xml version="1.0" encoding="utf-8"?>
<sst xmlns="http://schemas.openxmlformats.org/spreadsheetml/2006/main" count="263" uniqueCount="136">
  <si>
    <t>Dopravce</t>
  </si>
  <si>
    <t>ČSAD JIHOTRANS a.s.</t>
  </si>
  <si>
    <t>COMETT PLUS spol. s r.o.</t>
  </si>
  <si>
    <t>ČSAD STTRANS a.s.</t>
  </si>
  <si>
    <t>ČSAD J. Hradec a.s.</t>
  </si>
  <si>
    <t>ICOM transport a.s.</t>
  </si>
  <si>
    <t>JOSEF ŠTEFL-tour</t>
  </si>
  <si>
    <t>ČSAD AUTOBUSY Plzeň a.s.</t>
  </si>
  <si>
    <t>DP Města Vl. Březí s.r.o.</t>
  </si>
  <si>
    <t>RAMVEJBUS s.r.o.</t>
  </si>
  <si>
    <t>ČSAD STTRANS a.s.-MHD</t>
  </si>
  <si>
    <t>DP Města Č. Budějovice a.s.</t>
  </si>
  <si>
    <t>COMETT PLUS spol.s r.o.-MHD</t>
  </si>
  <si>
    <t>celkem</t>
  </si>
  <si>
    <t xml:space="preserve"> odborný odhad  </t>
  </si>
  <si>
    <t>BK BUS s.r.o.</t>
  </si>
  <si>
    <t>ČSAD AUTOBUSY Č. Budějovice a.s.</t>
  </si>
  <si>
    <t>v  Kč</t>
  </si>
  <si>
    <t xml:space="preserve">  ztráta 2.Q</t>
  </si>
  <si>
    <t xml:space="preserve">  ztráta 1.Q</t>
  </si>
  <si>
    <t xml:space="preserve">  ztráta 3.Q</t>
  </si>
  <si>
    <t xml:space="preserve">  ztráta 4.Q</t>
  </si>
  <si>
    <t>ztráta v %</t>
  </si>
  <si>
    <t>proti odhadu</t>
  </si>
  <si>
    <t>Znojemská dop. spol. - PSOTA, s.r.o.</t>
  </si>
  <si>
    <t>Veolia transport Praha s.r.o.</t>
  </si>
  <si>
    <t>1.Q</t>
  </si>
  <si>
    <t>2.Q</t>
  </si>
  <si>
    <t>3.Q</t>
  </si>
  <si>
    <t>4.Q</t>
  </si>
  <si>
    <t xml:space="preserve">proti odhadu </t>
  </si>
  <si>
    <t>autobusy</t>
  </si>
  <si>
    <t>drážní</t>
  </si>
  <si>
    <t>České dráhy, a.s.</t>
  </si>
  <si>
    <t>JHMD, a.s.</t>
  </si>
  <si>
    <t>DP města České Budějovice, a.s.</t>
  </si>
  <si>
    <t>CELKEM</t>
  </si>
  <si>
    <t xml:space="preserve">Doprava Záruba M&amp;K s.r.o. </t>
  </si>
  <si>
    <t>D O P R A V C E</t>
  </si>
  <si>
    <t>CENA DOPRAVNÍHO VÝKONU</t>
  </si>
  <si>
    <t xml:space="preserve">C E L K E M </t>
  </si>
  <si>
    <t>x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</si>
  <si>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</si>
  <si>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</si>
  <si>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</si>
  <si>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</si>
  <si>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</si>
  <si>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</si>
  <si>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</si>
  <si>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</si>
  <si>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</si>
  <si>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</si>
  <si>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</si>
  <si>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</si>
  <si>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standardní</t>
  </si>
  <si>
    <t>spoje</t>
  </si>
  <si>
    <t>km</t>
  </si>
  <si>
    <t>mikrobusy</t>
  </si>
  <si>
    <t>ausy</t>
  </si>
  <si>
    <t>na</t>
  </si>
  <si>
    <t>zavolání</t>
  </si>
  <si>
    <t>dotace / km</t>
  </si>
  <si>
    <t>CDV</t>
  </si>
  <si>
    <t>náklady</t>
  </si>
  <si>
    <t>malokapacitní vozidla</t>
  </si>
  <si>
    <t>PZ</t>
  </si>
  <si>
    <t xml:space="preserve">ARRIVA Praha s.r.o. </t>
  </si>
  <si>
    <t>ARRIVA Praha s.r.o.</t>
  </si>
  <si>
    <t>protarifovací ztráta na IDS</t>
  </si>
  <si>
    <t>dopravce</t>
  </si>
  <si>
    <t>standard km</t>
  </si>
  <si>
    <t>malokapac. km</t>
  </si>
  <si>
    <t>náklady standard/km</t>
  </si>
  <si>
    <t>náklady malokap./km</t>
  </si>
  <si>
    <t>náklady celkem</t>
  </si>
  <si>
    <t>CDV skut.</t>
  </si>
  <si>
    <t xml:space="preserve"> ČSAD AUTOBUSY ĆB -provoz VODŇANY</t>
  </si>
  <si>
    <t>malokap.</t>
  </si>
  <si>
    <t>vážený průměr</t>
  </si>
  <si>
    <t>uj.km celkem smlouva</t>
  </si>
  <si>
    <t>Tabulka vyplněna ze smluvních údajů nikoliv ze skutečnosti.</t>
  </si>
  <si>
    <t>skutečné km 2016</t>
  </si>
  <si>
    <t>malokapacitní km</t>
  </si>
  <si>
    <t>DP města Č. Budějovice a.s.</t>
  </si>
  <si>
    <t>2017</t>
  </si>
  <si>
    <t xml:space="preserve"> ČSAD AUTOBUSY ĆB -provoz VODŇANY </t>
  </si>
  <si>
    <t>GW BUS a.s.</t>
  </si>
  <si>
    <t>kompenzace IDS</t>
  </si>
  <si>
    <t>původní výše</t>
  </si>
  <si>
    <t xml:space="preserve">  ztráta 2018</t>
  </si>
  <si>
    <t xml:space="preserve">  Vykázané  km   2018</t>
  </si>
  <si>
    <t>km  2018</t>
  </si>
  <si>
    <t>smlouvy rok 2018</t>
  </si>
  <si>
    <t>mezikrajská smlouva s JmK</t>
  </si>
  <si>
    <t>ZELENÁ</t>
  </si>
  <si>
    <t>ZKONTROLOVÁNO</t>
  </si>
  <si>
    <t>Mezikrajská smlouva s JmK</t>
  </si>
  <si>
    <t>na mzdy</t>
  </si>
  <si>
    <t>smlouvy 2018</t>
  </si>
  <si>
    <t>smlouvy 2017</t>
  </si>
  <si>
    <t>skutečnost 2017</t>
  </si>
  <si>
    <t>Mezikrajská smlouva s JmK  (PSOTA)</t>
  </si>
  <si>
    <t>výkony KM</t>
  </si>
  <si>
    <t>proti smlouvě</t>
  </si>
  <si>
    <t>proti skutečnosti</t>
  </si>
  <si>
    <t>neposlal písemně</t>
  </si>
  <si>
    <t xml:space="preserve">   ztráta bez přim.zisku</t>
  </si>
  <si>
    <t>ztráta po odečtení výlukových km</t>
  </si>
  <si>
    <t>kontrola:</t>
  </si>
  <si>
    <t>I.Q  zkontrolován kromě ČSAD AUSY</t>
  </si>
  <si>
    <t>II.Q  nutno dokončit kontrolu ČSAD AUSY, JH</t>
  </si>
  <si>
    <t>vratka</t>
  </si>
  <si>
    <t>objížďky</t>
  </si>
  <si>
    <t xml:space="preserve"> </t>
  </si>
  <si>
    <t>km v poř.</t>
  </si>
  <si>
    <t>od 2.9. a 9.12.</t>
  </si>
  <si>
    <t>skutečnost vyúčtování u DP trolejbus</t>
  </si>
  <si>
    <t xml:space="preserve">vyplaceno celkem za rok 2018 </t>
  </si>
  <si>
    <t xml:space="preserve">vyplaceno za výluky </t>
  </si>
  <si>
    <t>ne</t>
  </si>
  <si>
    <t>skutečné km 2018</t>
  </si>
  <si>
    <t>standard km + výluky</t>
  </si>
  <si>
    <t>malokapacitní km + výluky</t>
  </si>
  <si>
    <t xml:space="preserve">Tabulka je ze skutečnosti 2018 k 11.3.2019_řadu čísel ještě nemám potvrzenou z ročního vyúčtování. </t>
  </si>
  <si>
    <t xml:space="preserve">                 Tabulka čerpání - prokazatelná ztráta za  2018 - nevýlukové</t>
  </si>
  <si>
    <t>výluky km celkem</t>
  </si>
  <si>
    <t>ROZDÍL 607 VÝLUKY</t>
  </si>
  <si>
    <t>ČSAD J. Hradec s.r.o.</t>
  </si>
  <si>
    <t xml:space="preserve">Dopravní podnik města České Budějovice a.s. </t>
  </si>
  <si>
    <t>doplatek kompenzace za dopravní výkon v Kč hrazený Jihočeským krajem</t>
  </si>
  <si>
    <t>Kompenzace dopravcům/smluvním stranám veřejné linkové dopravy za rok 2023 celkem:</t>
  </si>
  <si>
    <t>Přehled vyúčtování kompenzací JčK dopravcům/smluvním stranám ve veřejné linkové osobní dopravě za rok 2023</t>
  </si>
  <si>
    <t>Smlouva o závazku veřejné služby v přepravě cestujících pro zájmové území Jihočeského kraje pro roky 2021 až 2028 - vyúčtování 1. 1.2023 - 31. 12.2023</t>
  </si>
  <si>
    <t>zálohové platby vyplacené v r. 2023</t>
  </si>
  <si>
    <t>kompenzace Jihočeského kraje CELKEM</t>
  </si>
  <si>
    <t>Příloha č. 1 návrhu č. 153/ZK/24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</si>
</sst>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.000"/>
    <numFmt numFmtId="165" formatCode="#,##0_ ;\-#,##0\ "/>
    <numFmt numFmtId="166" formatCode="#,##0.0"/>
    <numFmt numFmtId="167" formatCode="#,##0\ &quot;Kč&quot;"/>
    <numFmt numFmtId="168" formatCode="#,##0.00\ &quot;Kč&quot;"/>
    <numFmt numFmtId="169" formatCode="#,##0.00_ ;\-#,##0.00\ "/>
  </numFmts>
  <fonts count="4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Times New Roman CE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sz val="9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sz val="10"/>
      <color rgb="FF0070C0"/>
      <name val="Arial CE"/>
      <charset val="238"/>
    </font>
    <font>
      <b/>
      <sz val="8"/>
      <color rgb="FFFF0000"/>
      <name val="Arial CE"/>
      <family val="2"/>
      <charset val="238"/>
    </font>
    <font>
      <sz val="10"/>
      <color theme="9"/>
      <name val="Arial CE"/>
      <charset val="238"/>
    </font>
    <font>
      <sz val="10"/>
      <color theme="5"/>
      <name val="Arial CE"/>
      <charset val="238"/>
    </font>
    <font>
      <b/>
      <sz val="10"/>
      <color theme="4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b/>
      <sz val="10"/>
      <color indexed="8"/>
      <name val="Arial CE"/>
      <charset val="238"/>
    </font>
    <font>
      <sz val="10"/>
      <color theme="3"/>
      <name val="Arial CE"/>
      <charset val="238"/>
    </font>
    <font>
      <sz val="10"/>
      <color theme="4"/>
      <name val="Arial CE"/>
      <charset val="238"/>
    </font>
    <font>
      <b/>
      <sz val="10"/>
      <color rgb="FFFF0000"/>
      <name val="Arial CE"/>
      <charset val="238"/>
    </font>
    <font>
      <b/>
      <sz val="10"/>
      <color theme="6" tint="-0.499984740745262"/>
      <name val="Arial CE"/>
      <charset val="238"/>
    </font>
    <font>
      <sz val="10"/>
      <color theme="6" tint="-0.499984740745262"/>
      <name val="Arial CE"/>
      <charset val="238"/>
    </font>
    <font>
      <sz val="10"/>
      <color rgb="FF00B050"/>
      <name val="Arial CE"/>
      <charset val="238"/>
    </font>
    <font>
      <b/>
      <sz val="10"/>
      <color theme="9" tint="-0.499984740745262"/>
      <name val="Arial CE"/>
      <charset val="238"/>
    </font>
    <font>
      <sz val="10"/>
      <color theme="9" tint="-0.499984740745262"/>
      <name val="Arial CE"/>
      <charset val="238"/>
    </font>
    <font>
      <b/>
      <sz val="11"/>
      <name val="Arial CE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3" fontId="0" fillId="0" borderId="1" xfId="0" applyNumberFormat="1" applyBorder="1"/>
    <xf numFmtId="0" fontId="0" fillId="0" borderId="3" xfId="0" applyBorder="1"/>
    <xf numFmtId="164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2" xfId="0" applyNumberFormat="1" applyBorder="1"/>
    <xf numFmtId="3" fontId="0" fillId="0" borderId="17" xfId="0" applyNumberFormat="1" applyBorder="1"/>
    <xf numFmtId="3" fontId="0" fillId="0" borderId="4" xfId="0" applyNumberFormat="1" applyBorder="1"/>
    <xf numFmtId="3" fontId="0" fillId="0" borderId="18" xfId="0" applyNumberFormat="1" applyBorder="1"/>
    <xf numFmtId="165" fontId="3" fillId="0" borderId="1" xfId="0" applyNumberFormat="1" applyFont="1" applyBorder="1"/>
    <xf numFmtId="10" fontId="0" fillId="0" borderId="19" xfId="0" applyNumberFormat="1" applyBorder="1" applyAlignment="1">
      <alignment horizontal="right"/>
    </xf>
    <xf numFmtId="3" fontId="0" fillId="0" borderId="0" xfId="0" applyNumberFormat="1"/>
    <xf numFmtId="0" fontId="6" fillId="0" borderId="12" xfId="0" applyFont="1" applyBorder="1"/>
    <xf numFmtId="0" fontId="6" fillId="0" borderId="15" xfId="0" applyFont="1" applyBorder="1"/>
    <xf numFmtId="0" fontId="0" fillId="0" borderId="1" xfId="0" applyBorder="1" applyAlignment="1">
      <alignment horizontal="center"/>
    </xf>
    <xf numFmtId="4" fontId="0" fillId="0" borderId="13" xfId="0" applyNumberFormat="1" applyBorder="1"/>
    <xf numFmtId="3" fontId="0" fillId="2" borderId="1" xfId="0" applyNumberFormat="1" applyFill="1" applyBorder="1"/>
    <xf numFmtId="3" fontId="0" fillId="2" borderId="13" xfId="0" applyNumberFormat="1" applyFill="1" applyBorder="1"/>
    <xf numFmtId="0" fontId="0" fillId="0" borderId="1" xfId="0" applyBorder="1"/>
    <xf numFmtId="2" fontId="0" fillId="0" borderId="1" xfId="0" applyNumberFormat="1" applyBorder="1"/>
    <xf numFmtId="3" fontId="8" fillId="0" borderId="0" xfId="0" applyNumberFormat="1" applyFont="1" applyAlignment="1">
      <alignment horizontal="left"/>
    </xf>
    <xf numFmtId="0" fontId="4" fillId="0" borderId="1" xfId="0" applyFont="1" applyBorder="1"/>
    <xf numFmtId="0" fontId="10" fillId="0" borderId="0" xfId="0" applyFont="1"/>
    <xf numFmtId="2" fontId="0" fillId="3" borderId="1" xfId="0" applyNumberFormat="1" applyFill="1" applyBorder="1" applyAlignment="1">
      <alignment horizontal="center"/>
    </xf>
    <xf numFmtId="165" fontId="3" fillId="0" borderId="13" xfId="0" applyNumberFormat="1" applyFont="1" applyBorder="1"/>
    <xf numFmtId="2" fontId="0" fillId="0" borderId="13" xfId="0" applyNumberFormat="1" applyBorder="1"/>
    <xf numFmtId="10" fontId="1" fillId="0" borderId="1" xfId="1" applyNumberFormat="1" applyBorder="1"/>
    <xf numFmtId="3" fontId="0" fillId="0" borderId="2" xfId="0" applyNumberFormat="1" applyBorder="1" applyAlignment="1">
      <alignment horizontal="right" wrapText="1"/>
    </xf>
    <xf numFmtId="3" fontId="0" fillId="0" borderId="2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/>
    </xf>
    <xf numFmtId="165" fontId="0" fillId="0" borderId="26" xfId="0" applyNumberFormat="1" applyBorder="1" applyAlignment="1">
      <alignment horizontal="right"/>
    </xf>
    <xf numFmtId="165" fontId="3" fillId="0" borderId="24" xfId="0" applyNumberFormat="1" applyFont="1" applyBorder="1"/>
    <xf numFmtId="10" fontId="0" fillId="0" borderId="20" xfId="0" applyNumberFormat="1" applyBorder="1" applyAlignment="1">
      <alignment horizontal="right"/>
    </xf>
    <xf numFmtId="10" fontId="0" fillId="0" borderId="28" xfId="0" applyNumberFormat="1" applyBorder="1" applyAlignment="1">
      <alignment horizontal="right"/>
    </xf>
    <xf numFmtId="10" fontId="0" fillId="0" borderId="27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 wrapText="1"/>
    </xf>
    <xf numFmtId="0" fontId="11" fillId="0" borderId="0" xfId="0" applyFont="1" applyAlignment="1">
      <alignment horizontal="center"/>
    </xf>
    <xf numFmtId="3" fontId="0" fillId="0" borderId="1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 wrapText="1"/>
    </xf>
    <xf numFmtId="0" fontId="12" fillId="0" borderId="0" xfId="0" applyFont="1"/>
    <xf numFmtId="0" fontId="13" fillId="0" borderId="0" xfId="0" applyFont="1" applyAlignment="1">
      <alignment horizontal="center"/>
    </xf>
    <xf numFmtId="3" fontId="0" fillId="0" borderId="3" xfId="0" applyNumberFormat="1" applyBorder="1"/>
    <xf numFmtId="10" fontId="1" fillId="0" borderId="2" xfId="1" applyNumberFormat="1" applyBorder="1"/>
    <xf numFmtId="10" fontId="1" fillId="0" borderId="29" xfId="1" applyNumberFormat="1" applyBorder="1"/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/>
    </xf>
    <xf numFmtId="4" fontId="0" fillId="0" borderId="4" xfId="0" applyNumberFormat="1" applyBorder="1"/>
    <xf numFmtId="10" fontId="1" fillId="0" borderId="30" xfId="1" applyNumberFormat="1" applyBorder="1"/>
    <xf numFmtId="3" fontId="0" fillId="0" borderId="3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3" fontId="0" fillId="2" borderId="2" xfId="0" applyNumberFormat="1" applyFill="1" applyBorder="1"/>
    <xf numFmtId="4" fontId="0" fillId="0" borderId="2" xfId="0" applyNumberFormat="1" applyBorder="1"/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3" fontId="0" fillId="0" borderId="17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3" fontId="20" fillId="2" borderId="29" xfId="2" applyNumberFormat="1" applyFont="1" applyFill="1" applyBorder="1"/>
    <xf numFmtId="165" fontId="0" fillId="0" borderId="0" xfId="0" applyNumberFormat="1" applyAlignment="1">
      <alignment horizontal="center"/>
    </xf>
    <xf numFmtId="3" fontId="21" fillId="0" borderId="0" xfId="0" applyNumberFormat="1" applyFont="1" applyAlignment="1">
      <alignment horizontal="right"/>
    </xf>
    <xf numFmtId="4" fontId="0" fillId="0" borderId="1" xfId="0" applyNumberFormat="1" applyBorder="1"/>
    <xf numFmtId="2" fontId="7" fillId="0" borderId="1" xfId="0" applyNumberFormat="1" applyFont="1" applyBorder="1" applyAlignment="1">
      <alignment horizontal="center"/>
    </xf>
    <xf numFmtId="165" fontId="22" fillId="0" borderId="1" xfId="0" applyNumberFormat="1" applyFont="1" applyBorder="1"/>
    <xf numFmtId="10" fontId="1" fillId="0" borderId="4" xfId="1" applyNumberFormat="1" applyBorder="1"/>
    <xf numFmtId="3" fontId="20" fillId="2" borderId="1" xfId="2" applyNumberFormat="1" applyFont="1" applyFill="1" applyBorder="1"/>
    <xf numFmtId="2" fontId="0" fillId="0" borderId="1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 wrapText="1"/>
    </xf>
    <xf numFmtId="2" fontId="0" fillId="0" borderId="2" xfId="0" applyNumberFormat="1" applyBorder="1" applyAlignment="1">
      <alignment horizontal="right"/>
    </xf>
    <xf numFmtId="3" fontId="11" fillId="0" borderId="0" xfId="0" applyNumberFormat="1" applyFont="1"/>
    <xf numFmtId="3" fontId="23" fillId="0" borderId="14" xfId="0" applyNumberFormat="1" applyFont="1" applyBorder="1"/>
    <xf numFmtId="3" fontId="7" fillId="0" borderId="16" xfId="0" applyNumberFormat="1" applyFont="1" applyBorder="1"/>
    <xf numFmtId="164" fontId="0" fillId="0" borderId="0" xfId="0" applyNumberFormat="1" applyAlignment="1">
      <alignment horizontal="center" vertical="center" wrapText="1"/>
    </xf>
    <xf numFmtId="3" fontId="7" fillId="0" borderId="0" xfId="0" applyNumberFormat="1" applyFont="1"/>
    <xf numFmtId="3" fontId="25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11" fillId="0" borderId="0" xfId="0" applyFont="1"/>
    <xf numFmtId="0" fontId="0" fillId="2" borderId="15" xfId="0" applyFill="1" applyBorder="1"/>
    <xf numFmtId="0" fontId="6" fillId="2" borderId="31" xfId="0" applyFont="1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21" xfId="0" applyFill="1" applyBorder="1"/>
    <xf numFmtId="0" fontId="6" fillId="2" borderId="23" xfId="0" applyFont="1" applyFill="1" applyBorder="1"/>
    <xf numFmtId="0" fontId="6" fillId="2" borderId="22" xfId="0" applyFont="1" applyFill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3" fontId="7" fillId="2" borderId="16" xfId="0" applyNumberFormat="1" applyFont="1" applyFill="1" applyBorder="1" applyAlignment="1">
      <alignment wrapText="1"/>
    </xf>
    <xf numFmtId="3" fontId="26" fillId="0" borderId="0" xfId="0" applyNumberFormat="1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3" xfId="0" applyBorder="1"/>
    <xf numFmtId="2" fontId="0" fillId="0" borderId="0" xfId="0" applyNumberFormat="1"/>
    <xf numFmtId="0" fontId="0" fillId="0" borderId="15" xfId="0" applyBorder="1"/>
    <xf numFmtId="3" fontId="7" fillId="0" borderId="1" xfId="0" applyNumberFormat="1" applyFont="1" applyBorder="1"/>
    <xf numFmtId="2" fontId="0" fillId="0" borderId="0" xfId="0" applyNumberFormat="1" applyAlignment="1">
      <alignment horizontal="center"/>
    </xf>
    <xf numFmtId="3" fontId="0" fillId="2" borderId="25" xfId="0" applyNumberFormat="1" applyFill="1" applyBorder="1"/>
    <xf numFmtId="4" fontId="7" fillId="2" borderId="1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0" fontId="27" fillId="0" borderId="0" xfId="0" applyFont="1"/>
    <xf numFmtId="0" fontId="0" fillId="2" borderId="1" xfId="0" applyFill="1" applyBorder="1"/>
    <xf numFmtId="3" fontId="9" fillId="0" borderId="1" xfId="0" applyNumberFormat="1" applyFont="1" applyBorder="1"/>
    <xf numFmtId="49" fontId="0" fillId="0" borderId="0" xfId="0" applyNumberFormat="1"/>
    <xf numFmtId="3" fontId="0" fillId="2" borderId="16" xfId="0" applyNumberFormat="1" applyFill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2" borderId="12" xfId="0" applyNumberFormat="1" applyFill="1" applyBorder="1"/>
    <xf numFmtId="2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3" fontId="0" fillId="0" borderId="34" xfId="0" applyNumberFormat="1" applyBorder="1" applyAlignment="1">
      <alignment horizontal="left"/>
    </xf>
    <xf numFmtId="3" fontId="0" fillId="0" borderId="35" xfId="0" applyNumberFormat="1" applyBorder="1" applyAlignment="1">
      <alignment horizontal="left"/>
    </xf>
    <xf numFmtId="0" fontId="11" fillId="0" borderId="15" xfId="0" applyFont="1" applyBorder="1"/>
    <xf numFmtId="0" fontId="11" fillId="2" borderId="15" xfId="0" applyFont="1" applyFill="1" applyBorder="1"/>
    <xf numFmtId="2" fontId="7" fillId="0" borderId="1" xfId="0" applyNumberFormat="1" applyFont="1" applyBorder="1"/>
    <xf numFmtId="3" fontId="27" fillId="0" borderId="16" xfId="0" applyNumberFormat="1" applyFont="1" applyBorder="1"/>
    <xf numFmtId="4" fontId="27" fillId="0" borderId="1" xfId="0" applyNumberFormat="1" applyFont="1" applyBorder="1" applyAlignment="1">
      <alignment horizontal="left"/>
    </xf>
    <xf numFmtId="3" fontId="28" fillId="0" borderId="14" xfId="0" applyNumberFormat="1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" fontId="28" fillId="0" borderId="16" xfId="0" applyNumberFormat="1" applyFont="1" applyBorder="1"/>
    <xf numFmtId="2" fontId="28" fillId="0" borderId="1" xfId="0" applyNumberFormat="1" applyFont="1" applyBorder="1"/>
    <xf numFmtId="3" fontId="29" fillId="0" borderId="1" xfId="0" applyNumberFormat="1" applyFont="1" applyBorder="1"/>
    <xf numFmtId="3" fontId="29" fillId="0" borderId="13" xfId="0" applyNumberFormat="1" applyFont="1" applyBorder="1"/>
    <xf numFmtId="3" fontId="29" fillId="2" borderId="1" xfId="0" applyNumberFormat="1" applyFont="1" applyFill="1" applyBorder="1"/>
    <xf numFmtId="3" fontId="28" fillId="2" borderId="32" xfId="0" applyNumberFormat="1" applyFont="1" applyFill="1" applyBorder="1" applyAlignment="1">
      <alignment wrapText="1"/>
    </xf>
    <xf numFmtId="3" fontId="0" fillId="0" borderId="36" xfId="0" applyNumberFormat="1" applyBorder="1"/>
    <xf numFmtId="4" fontId="28" fillId="0" borderId="1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3" fontId="28" fillId="0" borderId="0" xfId="0" applyNumberFormat="1" applyFont="1"/>
    <xf numFmtId="3" fontId="29" fillId="0" borderId="14" xfId="0" applyNumberFormat="1" applyFont="1" applyBorder="1"/>
    <xf numFmtId="3" fontId="29" fillId="0" borderId="16" xfId="0" applyNumberFormat="1" applyFont="1" applyBorder="1"/>
    <xf numFmtId="0" fontId="11" fillId="2" borderId="37" xfId="0" applyFont="1" applyFill="1" applyBorder="1"/>
    <xf numFmtId="3" fontId="0" fillId="0" borderId="24" xfId="0" applyNumberFormat="1" applyBorder="1"/>
    <xf numFmtId="3" fontId="0" fillId="0" borderId="38" xfId="0" applyNumberFormat="1" applyBorder="1"/>
    <xf numFmtId="164" fontId="0" fillId="0" borderId="0" xfId="0" applyNumberFormat="1" applyAlignment="1">
      <alignment horizontal="center"/>
    </xf>
    <xf numFmtId="4" fontId="0" fillId="0" borderId="0" xfId="0" applyNumberFormat="1"/>
    <xf numFmtId="4" fontId="0" fillId="5" borderId="0" xfId="0" applyNumberFormat="1" applyFill="1"/>
    <xf numFmtId="4" fontId="0" fillId="6" borderId="0" xfId="0" applyNumberFormat="1" applyFill="1"/>
    <xf numFmtId="3" fontId="5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0" fillId="2" borderId="0" xfId="0" applyFill="1"/>
    <xf numFmtId="10" fontId="0" fillId="2" borderId="15" xfId="0" applyNumberFormat="1" applyFill="1" applyBorder="1"/>
    <xf numFmtId="166" fontId="0" fillId="0" borderId="0" xfId="0" applyNumberFormat="1"/>
    <xf numFmtId="0" fontId="4" fillId="2" borderId="15" xfId="0" applyFont="1" applyFill="1" applyBorder="1"/>
    <xf numFmtId="3" fontId="0" fillId="6" borderId="0" xfId="0" applyNumberFormat="1" applyFill="1" applyAlignment="1">
      <alignment horizontal="left"/>
    </xf>
    <xf numFmtId="3" fontId="7" fillId="6" borderId="0" xfId="0" applyNumberFormat="1" applyFont="1" applyFill="1" applyAlignment="1">
      <alignment horizontal="left"/>
    </xf>
    <xf numFmtId="4" fontId="14" fillId="0" borderId="0" xfId="0" applyNumberFormat="1" applyFont="1" applyAlignment="1">
      <alignment horizontal="right"/>
    </xf>
    <xf numFmtId="3" fontId="7" fillId="6" borderId="13" xfId="0" applyNumberFormat="1" applyFont="1" applyFill="1" applyBorder="1"/>
    <xf numFmtId="3" fontId="7" fillId="6" borderId="1" xfId="0" applyNumberFormat="1" applyFont="1" applyFill="1" applyBorder="1"/>
    <xf numFmtId="3" fontId="23" fillId="6" borderId="13" xfId="0" applyNumberFormat="1" applyFont="1" applyFill="1" applyBorder="1"/>
    <xf numFmtId="10" fontId="7" fillId="0" borderId="0" xfId="0" applyNumberFormat="1" applyFont="1" applyAlignment="1">
      <alignment horizontal="left"/>
    </xf>
    <xf numFmtId="3" fontId="7" fillId="7" borderId="1" xfId="0" applyNumberFormat="1" applyFont="1" applyFill="1" applyBorder="1"/>
    <xf numFmtId="3" fontId="24" fillId="6" borderId="1" xfId="0" applyNumberFormat="1" applyFont="1" applyFill="1" applyBorder="1"/>
    <xf numFmtId="3" fontId="0" fillId="0" borderId="20" xfId="0" applyNumberFormat="1" applyBorder="1" applyAlignment="1">
      <alignment horizontal="right"/>
    </xf>
    <xf numFmtId="2" fontId="31" fillId="5" borderId="1" xfId="0" applyNumberFormat="1" applyFont="1" applyFill="1" applyBorder="1"/>
    <xf numFmtId="2" fontId="32" fillId="5" borderId="1" xfId="0" applyNumberFormat="1" applyFont="1" applyFill="1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 wrapText="1"/>
    </xf>
    <xf numFmtId="3" fontId="0" fillId="0" borderId="28" xfId="0" applyNumberFormat="1" applyBorder="1" applyAlignment="1">
      <alignment horizontal="right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10" fontId="11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vertical="top"/>
    </xf>
    <xf numFmtId="2" fontId="7" fillId="2" borderId="1" xfId="0" applyNumberFormat="1" applyFont="1" applyFill="1" applyBorder="1"/>
    <xf numFmtId="2" fontId="0" fillId="2" borderId="1" xfId="0" applyNumberFormat="1" applyFill="1" applyBorder="1"/>
    <xf numFmtId="0" fontId="7" fillId="0" borderId="1" xfId="0" applyFont="1" applyBorder="1"/>
    <xf numFmtId="0" fontId="7" fillId="2" borderId="1" xfId="0" applyFont="1" applyFill="1" applyBorder="1"/>
    <xf numFmtId="0" fontId="30" fillId="0" borderId="0" xfId="0" applyFont="1"/>
    <xf numFmtId="3" fontId="0" fillId="0" borderId="40" xfId="0" applyNumberFormat="1" applyBorder="1" applyAlignment="1">
      <alignment horizontal="right"/>
    </xf>
    <xf numFmtId="3" fontId="0" fillId="0" borderId="39" xfId="0" applyNumberFormat="1" applyBorder="1" applyAlignment="1">
      <alignment horizontal="right" wrapText="1"/>
    </xf>
    <xf numFmtId="3" fontId="0" fillId="8" borderId="16" xfId="0" applyNumberFormat="1" applyFill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/>
    <xf numFmtId="168" fontId="37" fillId="0" borderId="0" xfId="0" applyNumberFormat="1" applyFont="1"/>
    <xf numFmtId="167" fontId="38" fillId="0" borderId="0" xfId="0" applyNumberFormat="1" applyFont="1"/>
    <xf numFmtId="164" fontId="35" fillId="0" borderId="0" xfId="0" applyNumberFormat="1" applyFont="1"/>
    <xf numFmtId="169" fontId="35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168" fontId="39" fillId="0" borderId="0" xfId="0" applyNumberFormat="1" applyFont="1"/>
    <xf numFmtId="0" fontId="7" fillId="0" borderId="0" xfId="0" applyFont="1" applyAlignment="1">
      <alignment vertical="center"/>
    </xf>
    <xf numFmtId="0" fontId="35" fillId="0" borderId="1" xfId="0" applyFont="1" applyBorder="1"/>
    <xf numFmtId="0" fontId="39" fillId="0" borderId="1" xfId="0" applyFont="1" applyBorder="1"/>
    <xf numFmtId="0" fontId="41" fillId="0" borderId="0" xfId="0" applyFont="1"/>
    <xf numFmtId="44" fontId="39" fillId="0" borderId="1" xfId="3" applyFont="1" applyBorder="1" applyAlignment="1">
      <alignment horizontal="right"/>
    </xf>
    <xf numFmtId="0" fontId="34" fillId="0" borderId="0" xfId="0" applyFont="1"/>
    <xf numFmtId="44" fontId="40" fillId="0" borderId="1" xfId="0" applyNumberFormat="1" applyFont="1" applyBorder="1"/>
    <xf numFmtId="44" fontId="35" fillId="0" borderId="1" xfId="3" applyFont="1" applyFill="1" applyBorder="1" applyAlignment="1">
      <alignment horizontal="right"/>
    </xf>
    <xf numFmtId="44" fontId="35" fillId="0" borderId="1" xfId="3" applyFont="1" applyFill="1" applyBorder="1"/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40" fillId="0" borderId="42" xfId="0" applyFont="1" applyBorder="1" applyAlignment="1">
      <alignment horizontal="left"/>
    </xf>
    <xf numFmtId="0" fontId="40" fillId="0" borderId="41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4" fillId="0" borderId="0" xfId="0" applyFont="1" applyAlignment="1">
      <alignment horizontal="center"/>
    </xf>
  </cellXfs>
  <cellStyles count="4">
    <cellStyle name="Měna" xfId="3" builtinId="4"/>
    <cellStyle name="Normální" xfId="0" builtinId="0"/>
    <cellStyle name="Procenta" xfId="1" builtinId="5"/>
    <cellStyle name="Správně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5"/>
  <sheetViews>
    <sheetView zoomScale="90" zoomScaleNormal="90" workbookViewId="0">
      <pane xSplit="2" topLeftCell="C1" activePane="topRight" state="frozen"/>
      <selection pane="topRight" activeCell="B33" sqref="B33"/>
    </sheetView>
  </sheetViews>
  <sheetFormatPr defaultRowHeight="12.75" x14ac:dyDescent="0.2"/>
  <cols>
    <col min="2" max="2" width="42.7109375" customWidth="1"/>
    <col min="3" max="3" width="17" style="2" customWidth="1"/>
    <col min="4" max="4" width="15.5703125" style="2" customWidth="1"/>
    <col min="5" max="5" width="16.85546875" style="2" customWidth="1"/>
    <col min="6" max="6" width="17.42578125" style="2" customWidth="1"/>
    <col min="7" max="7" width="16.140625" style="2" customWidth="1"/>
    <col min="8" max="8" width="14.42578125" customWidth="1"/>
    <col min="9" max="9" width="12.140625" customWidth="1"/>
    <col min="10" max="10" width="8.140625" style="1" customWidth="1"/>
    <col min="11" max="11" width="16.5703125" style="4" customWidth="1"/>
    <col min="12" max="12" width="12.7109375" style="4" customWidth="1"/>
    <col min="13" max="13" width="16.5703125" style="4" customWidth="1"/>
    <col min="14" max="14" width="14.85546875" style="4" customWidth="1"/>
    <col min="15" max="15" width="11.42578125" style="4" customWidth="1"/>
    <col min="16" max="16" width="11.7109375" style="4" customWidth="1"/>
    <col min="17" max="17" width="7.7109375" style="4" customWidth="1"/>
    <col min="18" max="18" width="11" style="4" customWidth="1"/>
    <col min="19" max="19" width="8.85546875" style="4" customWidth="1"/>
    <col min="20" max="20" width="7.5703125" style="4" customWidth="1"/>
    <col min="21" max="21" width="12.28515625" style="4" customWidth="1"/>
    <col min="22" max="22" width="10.28515625" style="4" customWidth="1"/>
    <col min="23" max="23" width="8.28515625" style="4" customWidth="1"/>
    <col min="24" max="24" width="6.42578125" style="4" customWidth="1"/>
    <col min="25" max="25" width="8.7109375" style="4" customWidth="1"/>
    <col min="26" max="26" width="8.5703125" style="4" customWidth="1"/>
    <col min="27" max="27" width="6.7109375" style="4" customWidth="1"/>
    <col min="28" max="28" width="9.7109375" style="1" customWidth="1"/>
  </cols>
  <sheetData>
    <row r="1" spans="1:28" ht="16.5" thickBot="1" x14ac:dyDescent="0.3">
      <c r="B1" s="133"/>
      <c r="C1" s="19"/>
      <c r="D1" s="20" t="s">
        <v>124</v>
      </c>
      <c r="E1" s="19"/>
      <c r="F1" s="19"/>
    </row>
    <row r="2" spans="1:28" ht="12.75" customHeight="1" x14ac:dyDescent="0.2">
      <c r="B2" s="237" t="s">
        <v>0</v>
      </c>
      <c r="C2" s="14" t="s">
        <v>14</v>
      </c>
      <c r="D2" s="16"/>
      <c r="E2" s="18"/>
      <c r="F2" s="16"/>
      <c r="G2" s="18"/>
      <c r="H2" s="12" t="s">
        <v>89</v>
      </c>
      <c r="I2" s="12" t="s">
        <v>22</v>
      </c>
      <c r="J2" s="10"/>
      <c r="K2" s="8"/>
      <c r="L2" s="201"/>
      <c r="M2" s="201"/>
      <c r="O2" s="4">
        <v>2018</v>
      </c>
      <c r="R2" s="4">
        <v>2018</v>
      </c>
      <c r="V2" s="136" t="s">
        <v>84</v>
      </c>
      <c r="W2" s="2"/>
      <c r="X2" s="2"/>
      <c r="Y2">
        <v>2017</v>
      </c>
      <c r="Z2"/>
      <c r="AA2"/>
    </row>
    <row r="3" spans="1:28" ht="39.75" customHeight="1" thickBot="1" x14ac:dyDescent="0.25">
      <c r="B3" s="238"/>
      <c r="C3" s="15" t="s">
        <v>92</v>
      </c>
      <c r="D3" s="17" t="s">
        <v>19</v>
      </c>
      <c r="E3" s="15" t="s">
        <v>18</v>
      </c>
      <c r="F3" s="17" t="s">
        <v>20</v>
      </c>
      <c r="G3" s="15" t="s">
        <v>21</v>
      </c>
      <c r="H3" s="13" t="s">
        <v>17</v>
      </c>
      <c r="I3" s="13" t="s">
        <v>23</v>
      </c>
      <c r="J3" s="11" t="s">
        <v>61</v>
      </c>
      <c r="K3" s="9" t="s">
        <v>117</v>
      </c>
      <c r="L3" s="202" t="s">
        <v>111</v>
      </c>
      <c r="M3" s="202" t="s">
        <v>118</v>
      </c>
      <c r="N3" s="101" t="s">
        <v>68</v>
      </c>
      <c r="O3" s="104" t="s">
        <v>62</v>
      </c>
      <c r="P3" s="104" t="s">
        <v>63</v>
      </c>
      <c r="Q3" s="104" t="s">
        <v>65</v>
      </c>
      <c r="R3" s="104" t="s">
        <v>62</v>
      </c>
      <c r="S3" s="104" t="s">
        <v>63</v>
      </c>
      <c r="T3" s="104" t="s">
        <v>65</v>
      </c>
      <c r="U3" s="169" t="s">
        <v>97</v>
      </c>
      <c r="V3" s="104" t="s">
        <v>62</v>
      </c>
      <c r="W3" s="104" t="s">
        <v>63</v>
      </c>
      <c r="X3" s="104" t="s">
        <v>65</v>
      </c>
      <c r="Y3" s="104" t="s">
        <v>62</v>
      </c>
      <c r="Z3" s="104" t="s">
        <v>63</v>
      </c>
      <c r="AA3" s="104" t="s">
        <v>65</v>
      </c>
      <c r="AB3" s="5"/>
    </row>
    <row r="4" spans="1:28" ht="18" customHeight="1" x14ac:dyDescent="0.2">
      <c r="A4">
        <v>1</v>
      </c>
      <c r="B4" s="112" t="s">
        <v>86</v>
      </c>
      <c r="C4" s="157">
        <v>113521326</v>
      </c>
      <c r="D4" s="192">
        <v>28554139</v>
      </c>
      <c r="E4" s="194">
        <v>28313517.5</v>
      </c>
      <c r="F4" s="192">
        <v>25138413.870000001</v>
      </c>
      <c r="G4" s="192">
        <v>24082848.5</v>
      </c>
      <c r="H4" s="47">
        <f t="shared" ref="H4:H9" si="0">D4+E4+F4+G4</f>
        <v>106088918.87</v>
      </c>
      <c r="I4" s="49">
        <f>(D4+E4+F4+G4)/C4</f>
        <v>0.93452853845276618</v>
      </c>
      <c r="J4" s="48">
        <f t="shared" ref="J4:J16" si="1">K4/H28</f>
        <v>22.812898110524877</v>
      </c>
      <c r="K4" s="61">
        <f>H4</f>
        <v>106088918.87</v>
      </c>
      <c r="L4" s="198">
        <f>C4-K4</f>
        <v>7432407.1299999952</v>
      </c>
      <c r="M4" s="198"/>
      <c r="N4" s="98"/>
      <c r="O4" s="162">
        <v>36.520000000000003</v>
      </c>
      <c r="P4" s="42">
        <v>36.06</v>
      </c>
      <c r="Q4" s="42">
        <f>O4-P4</f>
        <v>0.46000000000000085</v>
      </c>
      <c r="R4" s="154">
        <v>31.55</v>
      </c>
      <c r="S4" s="42">
        <v>30.57</v>
      </c>
      <c r="T4" s="42">
        <f>R4-S4</f>
        <v>0.98000000000000043</v>
      </c>
      <c r="U4" s="170">
        <v>0.9</v>
      </c>
      <c r="V4" s="105">
        <f>W4+X4</f>
        <v>35.630000000000003</v>
      </c>
      <c r="W4" s="141">
        <f>32.63+1.5</f>
        <v>34.130000000000003</v>
      </c>
      <c r="X4" s="106">
        <f>0.5+1</f>
        <v>1.5</v>
      </c>
      <c r="Y4" s="142">
        <f t="shared" ref="Y4:Y10" si="2">Z4+AA4</f>
        <v>30.28</v>
      </c>
      <c r="Z4" s="52">
        <f>27.28+1.5</f>
        <v>28.78</v>
      </c>
      <c r="AA4" s="89">
        <f>0.5+1</f>
        <v>1.5</v>
      </c>
      <c r="AB4" s="88"/>
    </row>
    <row r="5" spans="1:28" ht="18" customHeight="1" x14ac:dyDescent="0.2">
      <c r="A5">
        <f>1+A4</f>
        <v>2</v>
      </c>
      <c r="B5" s="110" t="s">
        <v>16</v>
      </c>
      <c r="C5" s="161">
        <v>174981915</v>
      </c>
      <c r="D5" s="193">
        <v>43785265</v>
      </c>
      <c r="E5" s="193">
        <v>43441561</v>
      </c>
      <c r="F5" s="193">
        <v>39141876</v>
      </c>
      <c r="G5" s="193">
        <v>37339826</v>
      </c>
      <c r="H5" s="32">
        <f t="shared" si="0"/>
        <v>163708528</v>
      </c>
      <c r="I5" s="49">
        <f t="shared" ref="I5:I18" si="3">(D5+E5+F5+G5)/C5</f>
        <v>0.93557398774610512</v>
      </c>
      <c r="J5" s="42">
        <f t="shared" si="1"/>
        <v>24.865706812286756</v>
      </c>
      <c r="K5" s="216">
        <f>H5</f>
        <v>163708528</v>
      </c>
      <c r="L5" s="198">
        <f>C5-K5</f>
        <v>11273387</v>
      </c>
      <c r="M5" s="198"/>
      <c r="N5" s="102"/>
      <c r="O5" s="162">
        <v>36.57</v>
      </c>
      <c r="P5" s="42">
        <v>36.119999999999997</v>
      </c>
      <c r="Q5" s="42">
        <f>O5-P5</f>
        <v>0.45000000000000284</v>
      </c>
      <c r="R5" s="154">
        <v>32.36</v>
      </c>
      <c r="S5" s="42">
        <v>31.91</v>
      </c>
      <c r="T5" s="42">
        <f>R5-S5</f>
        <v>0.44999999999999929</v>
      </c>
      <c r="U5" s="170">
        <v>1.2</v>
      </c>
      <c r="V5" s="105">
        <f t="shared" ref="V5:V17" si="4">W5+X5</f>
        <v>36.130000000000003</v>
      </c>
      <c r="W5" s="141">
        <f>33.18+1.5</f>
        <v>34.68</v>
      </c>
      <c r="X5" s="106">
        <f>0.45+1</f>
        <v>1.45</v>
      </c>
      <c r="Y5" s="142">
        <f t="shared" si="2"/>
        <v>32.15</v>
      </c>
      <c r="Z5" s="52">
        <f>29.2+1.5</f>
        <v>30.7</v>
      </c>
      <c r="AA5" s="89">
        <f>0.45+1</f>
        <v>1.45</v>
      </c>
      <c r="AB5" s="6"/>
    </row>
    <row r="6" spans="1:28" ht="18" customHeight="1" x14ac:dyDescent="0.2">
      <c r="A6">
        <f t="shared" ref="A6:A16" si="5">1+A5</f>
        <v>3</v>
      </c>
      <c r="B6" s="110" t="s">
        <v>127</v>
      </c>
      <c r="C6" s="161">
        <v>71465005</v>
      </c>
      <c r="D6" s="21">
        <v>18622694</v>
      </c>
      <c r="E6" s="193">
        <v>18004086</v>
      </c>
      <c r="F6" s="197">
        <v>17539882</v>
      </c>
      <c r="G6" s="193">
        <v>15918219</v>
      </c>
      <c r="H6" s="32">
        <f t="shared" si="0"/>
        <v>70084881</v>
      </c>
      <c r="I6" s="49">
        <f t="shared" si="3"/>
        <v>0.98068811441348114</v>
      </c>
      <c r="J6" s="42">
        <f>K6/H30</f>
        <v>24.321473970235338</v>
      </c>
      <c r="K6" s="62">
        <f>H6</f>
        <v>70084881</v>
      </c>
      <c r="L6" s="198">
        <f>C6-K6</f>
        <v>1380124</v>
      </c>
      <c r="M6" s="198"/>
      <c r="N6" s="172">
        <f>750000-177541-187900-123091-182676</f>
        <v>78792</v>
      </c>
      <c r="O6" s="162">
        <v>35.51</v>
      </c>
      <c r="P6" s="42">
        <v>33.909999999999997</v>
      </c>
      <c r="Q6" s="42">
        <f>O6-P6</f>
        <v>1.6000000000000014</v>
      </c>
      <c r="R6" s="154">
        <v>30.3</v>
      </c>
      <c r="S6" s="42">
        <v>28.7</v>
      </c>
      <c r="T6" s="42">
        <f>R6-S6</f>
        <v>1.6000000000000014</v>
      </c>
      <c r="U6" s="170">
        <v>1.2</v>
      </c>
      <c r="V6" s="105">
        <f t="shared" si="4"/>
        <v>34.160000000000004</v>
      </c>
      <c r="W6" s="143">
        <f>31.06+1.5</f>
        <v>32.56</v>
      </c>
      <c r="X6" s="106">
        <f>0.6+1</f>
        <v>1.6</v>
      </c>
      <c r="Y6" s="142">
        <f t="shared" si="2"/>
        <v>28.98</v>
      </c>
      <c r="Z6" s="52">
        <f>25.88+1.5</f>
        <v>27.38</v>
      </c>
      <c r="AA6" s="89">
        <f>0.6+1</f>
        <v>1.6</v>
      </c>
      <c r="AB6" s="6"/>
    </row>
    <row r="7" spans="1:28" ht="18" customHeight="1" x14ac:dyDescent="0.2">
      <c r="B7" s="110" t="s">
        <v>85</v>
      </c>
      <c r="C7" s="161">
        <v>15879428</v>
      </c>
      <c r="D7" s="39">
        <v>4459244</v>
      </c>
      <c r="E7" s="21">
        <v>4357717</v>
      </c>
      <c r="F7" s="193">
        <v>4251034</v>
      </c>
      <c r="G7" s="193">
        <v>3811896</v>
      </c>
      <c r="H7" s="32">
        <f t="shared" si="0"/>
        <v>16879891</v>
      </c>
      <c r="I7" s="49">
        <f t="shared" si="3"/>
        <v>1.0630037177661562</v>
      </c>
      <c r="J7" s="42">
        <f t="shared" si="1"/>
        <v>23.63653792625075</v>
      </c>
      <c r="K7" s="216">
        <f>C7</f>
        <v>15879428</v>
      </c>
      <c r="L7" s="198">
        <v>0</v>
      </c>
      <c r="M7" s="198"/>
      <c r="N7" s="70"/>
      <c r="O7" s="162">
        <v>35.43</v>
      </c>
      <c r="P7" s="42">
        <v>34.979999999999997</v>
      </c>
      <c r="Q7" s="42">
        <f>O7-P7</f>
        <v>0.45000000000000284</v>
      </c>
      <c r="R7" s="162">
        <v>34.96</v>
      </c>
      <c r="S7" s="42">
        <v>34.51</v>
      </c>
      <c r="T7" s="42">
        <f>R7-S7</f>
        <v>0.45000000000000284</v>
      </c>
      <c r="U7" s="170">
        <v>1.2</v>
      </c>
      <c r="V7" s="105">
        <f t="shared" si="4"/>
        <v>35.010000000000005</v>
      </c>
      <c r="W7" s="144">
        <f>32.06+1.5</f>
        <v>33.56</v>
      </c>
      <c r="X7" s="106">
        <f>0.45+1</f>
        <v>1.45</v>
      </c>
      <c r="Y7" s="142">
        <f t="shared" si="2"/>
        <v>34.540000000000006</v>
      </c>
      <c r="Z7" s="52">
        <f>31.59+1.5</f>
        <v>33.090000000000003</v>
      </c>
      <c r="AA7" s="89">
        <f>0.45+1</f>
        <v>1.45</v>
      </c>
      <c r="AB7" s="43"/>
    </row>
    <row r="8" spans="1:28" ht="18" customHeight="1" x14ac:dyDescent="0.2">
      <c r="A8">
        <v>4</v>
      </c>
      <c r="B8" s="110" t="s">
        <v>3</v>
      </c>
      <c r="C8" s="161">
        <v>50647661</v>
      </c>
      <c r="D8" s="21">
        <v>12748039.699999999</v>
      </c>
      <c r="E8" s="21">
        <v>13207849.949999999</v>
      </c>
      <c r="F8" s="193">
        <v>11925898.619999999</v>
      </c>
      <c r="G8" s="21">
        <v>11468474.939999999</v>
      </c>
      <c r="H8" s="32">
        <f t="shared" si="0"/>
        <v>49350263.209999993</v>
      </c>
      <c r="I8" s="49">
        <f t="shared" si="3"/>
        <v>0.97438385575199604</v>
      </c>
      <c r="J8" s="42">
        <f t="shared" si="1"/>
        <v>26.514794322049603</v>
      </c>
      <c r="K8" s="62">
        <f>H8</f>
        <v>49350263.209999993</v>
      </c>
      <c r="L8" s="198">
        <f>C8-K8</f>
        <v>1297397.7900000066</v>
      </c>
      <c r="M8" s="198"/>
      <c r="N8" s="70"/>
      <c r="O8" s="162">
        <v>38.450000000000003</v>
      </c>
      <c r="P8" s="42">
        <v>38.049999999999997</v>
      </c>
      <c r="Q8" s="42">
        <f>O8-P8</f>
        <v>0.40000000000000568</v>
      </c>
      <c r="R8" s="162">
        <v>30.7</v>
      </c>
      <c r="S8" s="42">
        <v>30.3</v>
      </c>
      <c r="T8" s="42">
        <f>R8-S8</f>
        <v>0.39999999999999858</v>
      </c>
      <c r="U8" s="170">
        <v>1.2</v>
      </c>
      <c r="V8" s="105">
        <f t="shared" si="4"/>
        <v>37.129999999999995</v>
      </c>
      <c r="W8" s="52">
        <f>34.23+1.5</f>
        <v>35.729999999999997</v>
      </c>
      <c r="X8" s="106">
        <f>0.4+1</f>
        <v>1.4</v>
      </c>
      <c r="Y8" s="142">
        <f t="shared" si="2"/>
        <v>29.389999999999997</v>
      </c>
      <c r="Z8" s="52">
        <f>26.49+1.5</f>
        <v>27.99</v>
      </c>
      <c r="AA8" s="89">
        <f>0.4+1</f>
        <v>1.4</v>
      </c>
      <c r="AB8" s="6"/>
    </row>
    <row r="9" spans="1:28" ht="18" customHeight="1" x14ac:dyDescent="0.2">
      <c r="B9" s="110" t="s">
        <v>10</v>
      </c>
      <c r="C9" s="161">
        <v>199036</v>
      </c>
      <c r="D9" s="21">
        <v>49645</v>
      </c>
      <c r="E9" s="21">
        <v>50504</v>
      </c>
      <c r="F9" s="21">
        <v>50147</v>
      </c>
      <c r="G9" s="21">
        <v>51782</v>
      </c>
      <c r="H9" s="91">
        <f t="shared" si="0"/>
        <v>202078</v>
      </c>
      <c r="I9" s="49">
        <f t="shared" si="3"/>
        <v>1.0152836672762717</v>
      </c>
      <c r="J9" s="42">
        <f>K9/H33</f>
        <v>32.290071382219338</v>
      </c>
      <c r="K9" s="216">
        <f>C9</f>
        <v>199036</v>
      </c>
      <c r="L9" s="198">
        <v>0</v>
      </c>
      <c r="M9" s="198"/>
      <c r="N9" s="79"/>
      <c r="O9" s="162">
        <v>37.29</v>
      </c>
      <c r="P9" s="42">
        <v>37.29</v>
      </c>
      <c r="Q9" s="42">
        <v>0</v>
      </c>
      <c r="R9" s="154"/>
      <c r="S9" s="42"/>
      <c r="T9" s="42"/>
      <c r="U9" s="170">
        <v>0</v>
      </c>
      <c r="V9" s="105">
        <f t="shared" si="4"/>
        <v>33.15</v>
      </c>
      <c r="W9" s="141">
        <v>33.15</v>
      </c>
      <c r="X9" s="106">
        <v>0</v>
      </c>
      <c r="Y9" s="142"/>
      <c r="Z9" s="52"/>
      <c r="AA9" s="89"/>
      <c r="AB9" s="6"/>
    </row>
    <row r="10" spans="1:28" ht="18" customHeight="1" x14ac:dyDescent="0.2">
      <c r="A10">
        <v>5</v>
      </c>
      <c r="B10" s="110" t="s">
        <v>2</v>
      </c>
      <c r="C10" s="161">
        <v>78922363</v>
      </c>
      <c r="D10" s="21">
        <v>19779899.670000002</v>
      </c>
      <c r="E10" s="193">
        <v>19587189.920000002</v>
      </c>
      <c r="F10" s="196">
        <v>17789877.399999999</v>
      </c>
      <c r="G10" s="193">
        <v>17531063.77</v>
      </c>
      <c r="H10" s="32">
        <f t="shared" ref="H10:H13" si="6">D10+E10+F10+G10</f>
        <v>74688030.760000005</v>
      </c>
      <c r="I10" s="49">
        <f t="shared" si="3"/>
        <v>0.94634813151755237</v>
      </c>
      <c r="J10" s="42">
        <f t="shared" si="1"/>
        <v>28.170651268768829</v>
      </c>
      <c r="K10" s="62">
        <f>H10</f>
        <v>74688030.760000005</v>
      </c>
      <c r="L10" s="198">
        <f>C10-K10</f>
        <v>4234332.2399999946</v>
      </c>
      <c r="M10" s="198"/>
      <c r="N10" s="70"/>
      <c r="O10" s="162">
        <v>38.450000000000003</v>
      </c>
      <c r="P10" s="42">
        <v>37.85</v>
      </c>
      <c r="Q10" s="42">
        <f>O10-P10</f>
        <v>0.60000000000000142</v>
      </c>
      <c r="R10" s="162">
        <v>33.78</v>
      </c>
      <c r="S10" s="42">
        <v>33.18</v>
      </c>
      <c r="T10" s="42">
        <f>R10-S10</f>
        <v>0.60000000000000142</v>
      </c>
      <c r="U10" s="170">
        <v>1.2</v>
      </c>
      <c r="V10" s="105">
        <f t="shared" si="4"/>
        <v>37.050000000000004</v>
      </c>
      <c r="W10" s="141">
        <f>33.95+1.5</f>
        <v>35.450000000000003</v>
      </c>
      <c r="X10" s="106">
        <f>0.6+1</f>
        <v>1.6</v>
      </c>
      <c r="Y10" s="142">
        <f t="shared" si="2"/>
        <v>32.049999999999997</v>
      </c>
      <c r="Z10" s="52">
        <f>28.95+1.5</f>
        <v>30.45</v>
      </c>
      <c r="AA10" s="89">
        <f>0.6+1</f>
        <v>1.6</v>
      </c>
      <c r="AB10" s="6"/>
    </row>
    <row r="11" spans="1:28" ht="18" customHeight="1" x14ac:dyDescent="0.2">
      <c r="B11" s="110" t="s">
        <v>12</v>
      </c>
      <c r="C11" s="161">
        <v>3273786</v>
      </c>
      <c r="D11" s="21">
        <v>931444</v>
      </c>
      <c r="E11" s="21">
        <v>895421</v>
      </c>
      <c r="F11" s="21">
        <v>682608</v>
      </c>
      <c r="G11" s="21">
        <v>959890</v>
      </c>
      <c r="H11" s="32">
        <f t="shared" si="6"/>
        <v>3469363</v>
      </c>
      <c r="I11" s="49">
        <f t="shared" si="3"/>
        <v>1.0597403128976666</v>
      </c>
      <c r="J11" s="42">
        <f t="shared" si="1"/>
        <v>18.668198691886158</v>
      </c>
      <c r="K11" s="216">
        <f>C11</f>
        <v>3273786</v>
      </c>
      <c r="L11" s="198">
        <v>0</v>
      </c>
      <c r="M11" s="198"/>
      <c r="N11" s="70"/>
      <c r="O11" s="162">
        <v>40.049999999999997</v>
      </c>
      <c r="P11" s="42">
        <v>40.049999999999997</v>
      </c>
      <c r="Q11" s="42">
        <v>0</v>
      </c>
      <c r="R11" s="154"/>
      <c r="S11" s="42"/>
      <c r="T11" s="42"/>
      <c r="U11" s="170">
        <v>0</v>
      </c>
      <c r="V11" s="105">
        <f t="shared" si="4"/>
        <v>40.92</v>
      </c>
      <c r="W11" s="141">
        <v>40.92</v>
      </c>
      <c r="X11" s="106">
        <v>0</v>
      </c>
      <c r="Y11" s="142"/>
      <c r="Z11" s="52"/>
      <c r="AA11" s="89"/>
      <c r="AB11" s="6"/>
    </row>
    <row r="12" spans="1:28" ht="18" customHeight="1" x14ac:dyDescent="0.2">
      <c r="A12">
        <v>6</v>
      </c>
      <c r="B12" s="188" t="s">
        <v>6</v>
      </c>
      <c r="C12" s="161">
        <v>10798387</v>
      </c>
      <c r="D12" s="135">
        <v>2821600</v>
      </c>
      <c r="E12" s="135">
        <v>2770575</v>
      </c>
      <c r="F12" s="197">
        <v>2585513</v>
      </c>
      <c r="G12" s="197">
        <v>2465766</v>
      </c>
      <c r="H12" s="32">
        <f t="shared" si="6"/>
        <v>10643454</v>
      </c>
      <c r="I12" s="49">
        <f t="shared" si="3"/>
        <v>0.98565220898269346</v>
      </c>
      <c r="J12" s="42">
        <f t="shared" si="1"/>
        <v>24.364539123985331</v>
      </c>
      <c r="K12" s="62">
        <f>H12</f>
        <v>10643454</v>
      </c>
      <c r="L12" s="198">
        <f>C12-K12</f>
        <v>154933</v>
      </c>
      <c r="M12" s="198"/>
      <c r="N12" s="70"/>
      <c r="O12" s="162">
        <v>31.05</v>
      </c>
      <c r="P12" s="42">
        <v>30.78</v>
      </c>
      <c r="Q12" s="42">
        <f>O12-P12</f>
        <v>0.26999999999999957</v>
      </c>
      <c r="R12" s="154">
        <v>27.2</v>
      </c>
      <c r="S12" s="42">
        <v>26.94</v>
      </c>
      <c r="T12" s="42">
        <f>R12-S12</f>
        <v>0.25999999999999801</v>
      </c>
      <c r="U12" s="170">
        <v>1.2</v>
      </c>
      <c r="V12" s="105">
        <v>29.85</v>
      </c>
      <c r="W12" s="141">
        <f>26.87+1.5</f>
        <v>28.37</v>
      </c>
      <c r="X12" s="145">
        <v>1.48</v>
      </c>
      <c r="Y12" s="146">
        <v>26</v>
      </c>
      <c r="Z12" s="141">
        <f>22.96+1.5</f>
        <v>24.46</v>
      </c>
      <c r="AA12" s="147">
        <v>1.54</v>
      </c>
      <c r="AB12" s="6"/>
    </row>
    <row r="13" spans="1:28" ht="18" customHeight="1" x14ac:dyDescent="0.2">
      <c r="A13">
        <f t="shared" si="5"/>
        <v>7</v>
      </c>
      <c r="B13" s="110" t="s">
        <v>8</v>
      </c>
      <c r="C13" s="161">
        <v>839780</v>
      </c>
      <c r="D13" s="21">
        <v>223004.3</v>
      </c>
      <c r="E13" s="21">
        <v>243011.41</v>
      </c>
      <c r="F13" s="21">
        <v>118928.78</v>
      </c>
      <c r="G13" s="21">
        <v>209605</v>
      </c>
      <c r="H13" s="32">
        <f t="shared" si="6"/>
        <v>794549.49</v>
      </c>
      <c r="I13" s="49">
        <f t="shared" si="3"/>
        <v>0.94614004858415302</v>
      </c>
      <c r="J13" s="42">
        <f t="shared" si="1"/>
        <v>20.42122442685309</v>
      </c>
      <c r="K13" s="216">
        <v>794549</v>
      </c>
      <c r="L13" s="198">
        <f>C13-K13</f>
        <v>45231</v>
      </c>
      <c r="M13" s="198"/>
      <c r="N13" s="70"/>
      <c r="O13" s="162">
        <v>23.37</v>
      </c>
      <c r="P13" s="42">
        <v>23.37</v>
      </c>
      <c r="Q13" s="42">
        <v>0</v>
      </c>
      <c r="R13" s="154"/>
      <c r="S13" s="42"/>
      <c r="T13" s="42"/>
      <c r="U13" s="170">
        <v>0</v>
      </c>
      <c r="V13" s="105">
        <f t="shared" si="4"/>
        <v>23.28</v>
      </c>
      <c r="W13" s="141">
        <v>23.28</v>
      </c>
      <c r="X13" s="106">
        <v>0</v>
      </c>
      <c r="Y13" s="21"/>
      <c r="Z13" s="21"/>
      <c r="AA13" s="21"/>
      <c r="AB13" s="6"/>
    </row>
    <row r="14" spans="1:28" ht="18" customHeight="1" x14ac:dyDescent="0.2">
      <c r="A14">
        <f t="shared" si="5"/>
        <v>8</v>
      </c>
      <c r="B14" s="110" t="s">
        <v>83</v>
      </c>
      <c r="C14" s="161">
        <v>13383728.699999999</v>
      </c>
      <c r="D14" s="21">
        <v>3223129.54</v>
      </c>
      <c r="E14" s="21">
        <v>3417716.37</v>
      </c>
      <c r="F14" s="21">
        <v>3203650.53</v>
      </c>
      <c r="G14" s="21">
        <v>3461610.88</v>
      </c>
      <c r="H14" s="91">
        <f>D14+E14+F14+G14</f>
        <v>13306107.32</v>
      </c>
      <c r="I14" s="49">
        <f t="shared" si="3"/>
        <v>0.99420031728527203</v>
      </c>
      <c r="J14" s="42">
        <f t="shared" si="1"/>
        <v>38.750000015144998</v>
      </c>
      <c r="K14" s="62">
        <f>11974258.32+818752.71</f>
        <v>12793011.030000001</v>
      </c>
      <c r="L14" s="198">
        <f>C14-K14</f>
        <v>590717.66999999806</v>
      </c>
      <c r="M14" s="198"/>
      <c r="N14" s="191"/>
      <c r="O14" s="162">
        <v>61.52</v>
      </c>
      <c r="P14" s="42">
        <v>61.52</v>
      </c>
      <c r="Q14" s="42">
        <v>0</v>
      </c>
      <c r="R14" s="199">
        <v>61.52</v>
      </c>
      <c r="S14" s="200">
        <v>59.04</v>
      </c>
      <c r="T14" s="200">
        <f>R14-S14</f>
        <v>2.480000000000004</v>
      </c>
      <c r="U14" s="170">
        <v>0</v>
      </c>
      <c r="V14" s="105">
        <f t="shared" si="4"/>
        <v>60.87</v>
      </c>
      <c r="W14" s="141">
        <v>60.87</v>
      </c>
      <c r="X14" s="106">
        <v>0</v>
      </c>
      <c r="Y14" s="21"/>
      <c r="Z14" s="21"/>
      <c r="AA14" s="21"/>
      <c r="AB14" s="80"/>
    </row>
    <row r="15" spans="1:28" ht="18" customHeight="1" x14ac:dyDescent="0.2">
      <c r="A15">
        <f t="shared" si="5"/>
        <v>9</v>
      </c>
      <c r="B15" s="110" t="s">
        <v>5</v>
      </c>
      <c r="C15" s="161">
        <v>7365467</v>
      </c>
      <c r="D15" s="21">
        <v>1940355</v>
      </c>
      <c r="E15" s="193">
        <v>1893247</v>
      </c>
      <c r="F15" s="193">
        <v>1795713</v>
      </c>
      <c r="G15" s="193">
        <v>1673636</v>
      </c>
      <c r="H15" s="32">
        <f>D15+E15+F15+G15</f>
        <v>7302951</v>
      </c>
      <c r="I15" s="49">
        <f t="shared" si="3"/>
        <v>0.99151228292788496</v>
      </c>
      <c r="J15" s="42">
        <f t="shared" si="1"/>
        <v>23.263065852469826</v>
      </c>
      <c r="K15" s="62">
        <v>7302951</v>
      </c>
      <c r="L15" s="198">
        <f>C15-K15</f>
        <v>62516</v>
      </c>
      <c r="M15" s="198"/>
      <c r="N15" s="70"/>
      <c r="O15" s="162">
        <f>P15+Q15</f>
        <v>33.410000000000004</v>
      </c>
      <c r="P15" s="42">
        <v>32.39</v>
      </c>
      <c r="Q15" s="42">
        <v>1.02</v>
      </c>
      <c r="R15" s="154"/>
      <c r="S15" s="42"/>
      <c r="T15" s="42"/>
      <c r="U15" s="170">
        <v>1.2</v>
      </c>
      <c r="V15" s="105">
        <f t="shared" si="4"/>
        <v>32.06</v>
      </c>
      <c r="W15" s="141">
        <f>29.46+1.5</f>
        <v>30.96</v>
      </c>
      <c r="X15" s="106">
        <f>0.1+1</f>
        <v>1.1000000000000001</v>
      </c>
      <c r="Y15" s="21"/>
      <c r="Z15" s="21"/>
      <c r="AA15" s="21"/>
      <c r="AB15" s="6"/>
    </row>
    <row r="16" spans="1:28" ht="18" customHeight="1" x14ac:dyDescent="0.2">
      <c r="A16">
        <f t="shared" si="5"/>
        <v>10</v>
      </c>
      <c r="B16" s="110" t="s">
        <v>66</v>
      </c>
      <c r="C16" s="161">
        <v>1806432</v>
      </c>
      <c r="D16" s="21">
        <v>511343</v>
      </c>
      <c r="E16" s="21">
        <v>481739</v>
      </c>
      <c r="F16" s="21">
        <v>503672</v>
      </c>
      <c r="G16" s="21">
        <v>396760</v>
      </c>
      <c r="H16" s="32">
        <f>SUM(D16:G16)</f>
        <v>1893514</v>
      </c>
      <c r="I16" s="49">
        <f t="shared" si="3"/>
        <v>1.0482066305291315</v>
      </c>
      <c r="J16" s="42">
        <f t="shared" si="1"/>
        <v>21.343541755281439</v>
      </c>
      <c r="K16" s="216">
        <f>C16</f>
        <v>1806432</v>
      </c>
      <c r="L16" s="198">
        <v>0</v>
      </c>
      <c r="M16" s="198"/>
      <c r="N16" s="70"/>
      <c r="O16" s="162">
        <v>34.5</v>
      </c>
      <c r="P16" s="42">
        <v>33.14</v>
      </c>
      <c r="Q16" s="42">
        <f>O16-P16</f>
        <v>1.3599999999999994</v>
      </c>
      <c r="R16" s="154"/>
      <c r="S16" s="42"/>
      <c r="T16" s="42"/>
      <c r="U16" s="170">
        <v>1.18</v>
      </c>
      <c r="V16" s="105">
        <f t="shared" si="4"/>
        <v>33.22</v>
      </c>
      <c r="W16" s="141">
        <f>29.9+1.5</f>
        <v>31.4</v>
      </c>
      <c r="X16" s="106">
        <f>0.82+1</f>
        <v>1.8199999999999998</v>
      </c>
      <c r="Y16" s="21"/>
      <c r="Z16" s="21"/>
      <c r="AA16" s="21"/>
      <c r="AB16" s="6"/>
    </row>
    <row r="17" spans="1:28" ht="18" customHeight="1" thickBot="1" x14ac:dyDescent="0.25">
      <c r="B17" s="152" t="s">
        <v>96</v>
      </c>
      <c r="C17" s="155">
        <v>65454</v>
      </c>
      <c r="D17" s="21"/>
      <c r="E17" s="21"/>
      <c r="F17" s="21"/>
      <c r="G17" s="21"/>
      <c r="H17" s="54"/>
      <c r="I17" s="92"/>
      <c r="J17" s="42"/>
      <c r="K17" s="62"/>
      <c r="L17" s="214"/>
      <c r="M17" s="198"/>
      <c r="N17" s="83"/>
      <c r="O17" s="156" t="s">
        <v>93</v>
      </c>
      <c r="P17" s="141"/>
      <c r="Q17" s="106"/>
      <c r="R17" s="21"/>
      <c r="S17" s="21"/>
      <c r="T17" s="21"/>
      <c r="U17" s="171" t="s">
        <v>41</v>
      </c>
      <c r="V17" s="105">
        <f t="shared" si="4"/>
        <v>27.62</v>
      </c>
      <c r="W17" s="141">
        <v>25.01</v>
      </c>
      <c r="X17" s="106">
        <v>2.6099999999999994</v>
      </c>
      <c r="Y17" s="21"/>
      <c r="Z17" s="21"/>
      <c r="AA17" s="21"/>
      <c r="AB17" s="6"/>
    </row>
    <row r="18" spans="1:28" ht="18" customHeight="1" thickBot="1" x14ac:dyDescent="0.25">
      <c r="B18" s="22" t="s">
        <v>40</v>
      </c>
      <c r="C18" s="51">
        <f>SUM(C4:C17)</f>
        <v>543149768.70000005</v>
      </c>
      <c r="D18" s="50">
        <f t="shared" ref="D18:H18" si="7">SUM(D4:D17)</f>
        <v>137649802.21000001</v>
      </c>
      <c r="E18" s="50">
        <f t="shared" si="7"/>
        <v>136664135.15000001</v>
      </c>
      <c r="F18" s="50">
        <f t="shared" si="7"/>
        <v>124727214.20000002</v>
      </c>
      <c r="G18" s="59">
        <f t="shared" si="7"/>
        <v>119371378.08999999</v>
      </c>
      <c r="H18" s="53">
        <f t="shared" si="7"/>
        <v>518412529.64999998</v>
      </c>
      <c r="I18" s="67">
        <f t="shared" si="3"/>
        <v>0.95445595215992218</v>
      </c>
      <c r="J18" s="96">
        <f>K18/H42</f>
        <v>24.974035036507143</v>
      </c>
      <c r="K18" s="63">
        <f>SUM(K4:K17)</f>
        <v>516613268.87</v>
      </c>
      <c r="L18" s="215">
        <f>SUM(L4:L17)</f>
        <v>26471045.829999994</v>
      </c>
      <c r="M18" s="203"/>
      <c r="N18" s="71"/>
      <c r="O18" s="71"/>
      <c r="P18" s="71"/>
      <c r="Q18" s="71"/>
      <c r="R18" t="s">
        <v>64</v>
      </c>
      <c r="S18"/>
      <c r="T18"/>
      <c r="U18" s="71"/>
      <c r="V18" s="71"/>
      <c r="W18" s="71"/>
      <c r="X18" s="71"/>
      <c r="Y18" t="s">
        <v>64</v>
      </c>
      <c r="Z18"/>
      <c r="AA18"/>
      <c r="AB18" s="5"/>
    </row>
    <row r="19" spans="1:28" ht="13.5" hidden="1" thickBot="1" x14ac:dyDescent="0.25">
      <c r="H19" s="3"/>
      <c r="I19" s="6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8" ht="15" hidden="1" customHeight="1" x14ac:dyDescent="0.25">
      <c r="B20" s="35" t="s">
        <v>33</v>
      </c>
      <c r="C20" s="25">
        <v>491117441</v>
      </c>
      <c r="D20" s="140"/>
      <c r="E20" s="25"/>
      <c r="F20" s="40"/>
      <c r="G20" s="38"/>
      <c r="H20" s="86"/>
      <c r="I20" s="68">
        <f>H20/C20</f>
        <v>0</v>
      </c>
      <c r="J20" s="94" t="e">
        <f>K20/H44</f>
        <v>#DIV/0!</v>
      </c>
      <c r="K20" s="26"/>
      <c r="L20" s="34"/>
      <c r="M20" s="34"/>
      <c r="N20" s="151"/>
      <c r="O20" s="148"/>
      <c r="P20" s="148"/>
      <c r="Q20" s="148"/>
      <c r="R20" s="148"/>
      <c r="S20" s="148"/>
      <c r="T20" s="148"/>
      <c r="U20" s="150"/>
      <c r="V20" s="105"/>
      <c r="W20" s="106"/>
      <c r="X20" s="117"/>
      <c r="Y20" s="34"/>
      <c r="Z20" s="34" t="s">
        <v>88</v>
      </c>
      <c r="AA20" s="34"/>
      <c r="AB20" s="148"/>
    </row>
    <row r="21" spans="1:28" ht="15" hidden="1" customHeight="1" x14ac:dyDescent="0.25">
      <c r="B21" s="36" t="s">
        <v>34</v>
      </c>
      <c r="C21" s="120"/>
      <c r="D21" s="21">
        <v>5410400</v>
      </c>
      <c r="E21" s="21"/>
      <c r="F21" s="21">
        <v>5783975.4699999997</v>
      </c>
      <c r="G21" s="89"/>
      <c r="H21" s="93"/>
      <c r="I21" s="49" t="e">
        <f>(D21+E21+F21+G21)/C21</f>
        <v>#DIV/0!</v>
      </c>
      <c r="J21" s="95">
        <f>K21/H45</f>
        <v>0</v>
      </c>
      <c r="K21" s="62"/>
      <c r="L21" s="70"/>
      <c r="M21" s="70"/>
      <c r="N21" s="151" t="s">
        <v>106</v>
      </c>
      <c r="O21" s="148"/>
      <c r="P21" s="148">
        <f>C14-K14</f>
        <v>590717.66999999806</v>
      </c>
      <c r="Q21" s="148"/>
      <c r="R21" s="148"/>
      <c r="S21" s="148"/>
      <c r="T21" s="148"/>
      <c r="U21" s="150"/>
      <c r="V21" s="138"/>
      <c r="W21" s="139"/>
      <c r="X21" s="118"/>
      <c r="Y21" s="70"/>
      <c r="Z21" s="70"/>
      <c r="AA21" s="121"/>
    </row>
    <row r="22" spans="1:28" ht="15.75" hidden="1" thickBot="1" x14ac:dyDescent="0.3">
      <c r="B22" s="111" t="s">
        <v>35</v>
      </c>
      <c r="C22" s="166">
        <v>1384594</v>
      </c>
      <c r="D22" s="30">
        <v>334237.18</v>
      </c>
      <c r="E22" s="30">
        <v>360914.4</v>
      </c>
      <c r="F22" s="30">
        <v>319122.86</v>
      </c>
      <c r="G22" s="73">
        <v>355178.88</v>
      </c>
      <c r="H22" s="32">
        <f>D22+E22+F22+G22</f>
        <v>1369453.32</v>
      </c>
      <c r="I22" s="74">
        <f>(D22+E22+F22+G22)/C22</f>
        <v>0.98906489555783139</v>
      </c>
      <c r="J22" s="85">
        <f>K22/H46</f>
        <v>54.570011981334346</v>
      </c>
      <c r="K22" s="75">
        <f>C22</f>
        <v>1384594</v>
      </c>
      <c r="L22" s="70"/>
      <c r="M22" s="70"/>
      <c r="N22" s="151"/>
      <c r="O22" s="148"/>
      <c r="P22" s="148"/>
      <c r="Q22" s="148"/>
      <c r="R22" s="148"/>
      <c r="S22" s="148"/>
      <c r="T22" s="148"/>
      <c r="U22" s="150"/>
      <c r="V22" s="168">
        <v>75.23</v>
      </c>
      <c r="W22" s="106">
        <v>75.23</v>
      </c>
      <c r="X22" s="106">
        <v>0</v>
      </c>
      <c r="Y22" s="70"/>
      <c r="Z22" s="70" t="s">
        <v>87</v>
      </c>
      <c r="AA22" s="70"/>
      <c r="AB22" s="58"/>
    </row>
    <row r="23" spans="1:28" ht="13.5" hidden="1" thickBot="1" x14ac:dyDescent="0.25">
      <c r="B23" s="76" t="s">
        <v>36</v>
      </c>
      <c r="C23" s="77">
        <f t="shared" ref="C23:H23" si="8">SUM(C20:C22)</f>
        <v>492502035</v>
      </c>
      <c r="D23" s="28">
        <f t="shared" si="8"/>
        <v>5744637.1799999997</v>
      </c>
      <c r="E23" s="28"/>
      <c r="F23" s="28">
        <f t="shared" si="8"/>
        <v>6103098.3300000001</v>
      </c>
      <c r="G23" s="78">
        <f t="shared" si="8"/>
        <v>355178.88</v>
      </c>
      <c r="H23" s="28">
        <f t="shared" si="8"/>
        <v>1369453.32</v>
      </c>
      <c r="I23" s="67">
        <f>(D23+E23+F23+G23)/C23</f>
        <v>2.477738876754083E-2</v>
      </c>
      <c r="J23" s="97">
        <f>K23/H47</f>
        <v>17.468197045144397</v>
      </c>
      <c r="K23" s="84">
        <f>SUM(K20:K22)</f>
        <v>1384594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03"/>
      <c r="W23" s="70"/>
      <c r="X23" s="70"/>
      <c r="Y23" s="70"/>
      <c r="Z23" s="70"/>
      <c r="AB23" s="81"/>
    </row>
    <row r="24" spans="1:28" hidden="1" x14ac:dyDescent="0.2">
      <c r="B24" s="109"/>
      <c r="F24" s="2" t="s">
        <v>116</v>
      </c>
      <c r="H24" s="34">
        <v>1647709.63</v>
      </c>
      <c r="O24" s="158" t="s">
        <v>94</v>
      </c>
      <c r="P24" s="159" t="s">
        <v>95</v>
      </c>
      <c r="Q24" s="160"/>
      <c r="AB24" s="82"/>
    </row>
    <row r="25" spans="1:28" ht="15" customHeight="1" thickBot="1" x14ac:dyDescent="0.3">
      <c r="B25" s="236" t="s">
        <v>90</v>
      </c>
      <c r="C25" s="236"/>
      <c r="D25" s="236"/>
      <c r="E25" s="236"/>
      <c r="F25" s="236"/>
      <c r="G25" s="236"/>
      <c r="H25" s="236"/>
      <c r="I25" s="236"/>
      <c r="J25" s="236"/>
      <c r="K25" s="236"/>
      <c r="L25" s="69"/>
      <c r="M25" s="69"/>
      <c r="N25" s="69"/>
      <c r="O25" s="69"/>
      <c r="P25" s="69"/>
      <c r="Q25" s="69"/>
      <c r="R25" s="182"/>
      <c r="S25" s="69"/>
      <c r="T25" s="69"/>
      <c r="U25" s="69"/>
      <c r="V25" s="69"/>
      <c r="W25" s="69"/>
      <c r="X25" s="69"/>
      <c r="Y25" s="69"/>
      <c r="Z25" s="69"/>
      <c r="AA25" s="69"/>
    </row>
    <row r="26" spans="1:28" ht="15" customHeight="1" thickBot="1" x14ac:dyDescent="0.25">
      <c r="A26" s="240" t="s">
        <v>115</v>
      </c>
      <c r="B26" s="22" t="s">
        <v>0</v>
      </c>
      <c r="C26" s="23" t="s">
        <v>98</v>
      </c>
      <c r="D26" s="23" t="s">
        <v>26</v>
      </c>
      <c r="E26" s="23" t="s">
        <v>27</v>
      </c>
      <c r="F26" s="23" t="s">
        <v>28</v>
      </c>
      <c r="G26" s="23" t="s">
        <v>29</v>
      </c>
      <c r="H26" s="24" t="s">
        <v>91</v>
      </c>
      <c r="K26" s="4" t="s">
        <v>30</v>
      </c>
      <c r="L26" s="239" t="s">
        <v>56</v>
      </c>
      <c r="M26" s="239"/>
      <c r="P26" s="7"/>
      <c r="R26" s="70"/>
      <c r="V26" s="149"/>
      <c r="AA26" s="70"/>
    </row>
    <row r="27" spans="1:28" ht="15" customHeight="1" thickBot="1" x14ac:dyDescent="0.25">
      <c r="A27" s="241"/>
      <c r="B27" t="s">
        <v>31</v>
      </c>
      <c r="I27" s="204" t="s">
        <v>113</v>
      </c>
      <c r="L27" s="1" t="s">
        <v>112</v>
      </c>
      <c r="M27" s="1" t="s">
        <v>13</v>
      </c>
      <c r="P27" s="70"/>
      <c r="R27" s="70"/>
    </row>
    <row r="28" spans="1:28" ht="15" customHeight="1" thickBot="1" x14ac:dyDescent="0.25">
      <c r="A28" t="s">
        <v>114</v>
      </c>
      <c r="B28" s="112" t="s">
        <v>86</v>
      </c>
      <c r="C28" s="164">
        <f>4649544+2542+182+1170</f>
        <v>4653438</v>
      </c>
      <c r="D28" s="192">
        <v>1186468</v>
      </c>
      <c r="E28" s="192">
        <v>1198797</v>
      </c>
      <c r="F28" s="192">
        <v>1068590</v>
      </c>
      <c r="G28" s="192">
        <v>1196537</v>
      </c>
      <c r="H28" s="25">
        <f>D28+E28+F28+G28</f>
        <v>4650392</v>
      </c>
      <c r="I28" s="205"/>
      <c r="K28" s="33">
        <f>H28/C28</f>
        <v>0.99934543019591104</v>
      </c>
      <c r="L28" s="70"/>
      <c r="M28" s="70"/>
      <c r="N28" s="72"/>
      <c r="O28" s="72"/>
      <c r="P28" s="70"/>
      <c r="Q28" s="72"/>
      <c r="R28" s="183">
        <v>558401000</v>
      </c>
      <c r="S28" s="72"/>
      <c r="T28" s="72"/>
      <c r="U28" s="72"/>
      <c r="V28" s="72"/>
      <c r="W28" s="72"/>
      <c r="X28" s="72"/>
      <c r="Y28" s="72"/>
      <c r="Z28" s="72"/>
      <c r="AA28" s="72"/>
      <c r="AB28" s="87"/>
    </row>
    <row r="29" spans="1:28" ht="15" customHeight="1" thickBot="1" x14ac:dyDescent="0.25">
      <c r="A29" t="s">
        <v>114</v>
      </c>
      <c r="B29" s="110" t="s">
        <v>16</v>
      </c>
      <c r="C29" s="163">
        <f>6594114+53</f>
        <v>6594167</v>
      </c>
      <c r="D29" s="193">
        <v>1686511</v>
      </c>
      <c r="E29" s="193">
        <v>1699226</v>
      </c>
      <c r="F29" s="193">
        <v>1527838</v>
      </c>
      <c r="G29" s="193">
        <v>1670132</v>
      </c>
      <c r="H29" s="25">
        <f t="shared" ref="H29:H40" si="9">D29+E29+F29+G29</f>
        <v>6583707</v>
      </c>
      <c r="I29" s="208">
        <f>H29-M30</f>
        <v>1326</v>
      </c>
      <c r="K29" s="55">
        <f t="shared" ref="K29:K42" si="10">H29/C29</f>
        <v>0.99841374960628082</v>
      </c>
      <c r="L29" s="70"/>
      <c r="M29" s="70"/>
      <c r="N29" s="72"/>
      <c r="O29" s="72"/>
      <c r="P29" s="72"/>
      <c r="Q29" s="72"/>
      <c r="R29" s="70">
        <v>25000000</v>
      </c>
      <c r="S29" s="72"/>
      <c r="T29" s="72"/>
      <c r="U29" s="72"/>
      <c r="V29" s="72"/>
      <c r="W29" s="72"/>
      <c r="X29" s="72"/>
      <c r="Y29" s="72"/>
      <c r="Z29" s="72"/>
      <c r="AA29" s="72"/>
    </row>
    <row r="30" spans="1:28" ht="15" customHeight="1" thickBot="1" x14ac:dyDescent="0.25">
      <c r="A30" t="s">
        <v>114</v>
      </c>
      <c r="B30" s="110" t="s">
        <v>127</v>
      </c>
      <c r="C30" s="163">
        <f>2871879+8364</f>
        <v>2880243</v>
      </c>
      <c r="D30" s="21">
        <v>729090</v>
      </c>
      <c r="E30" s="193">
        <v>722454</v>
      </c>
      <c r="F30" s="193">
        <v>692427</v>
      </c>
      <c r="G30" s="193">
        <v>737634</v>
      </c>
      <c r="H30" s="25">
        <f t="shared" si="9"/>
        <v>2881605</v>
      </c>
      <c r="I30" s="205"/>
      <c r="K30" s="55">
        <f t="shared" si="10"/>
        <v>1.0004728767676894</v>
      </c>
      <c r="L30" s="70"/>
      <c r="M30" s="70">
        <f>5496483+1085898</f>
        <v>6582381</v>
      </c>
      <c r="N30" s="72"/>
      <c r="O30" s="206" t="s">
        <v>105</v>
      </c>
      <c r="P30" s="72"/>
      <c r="Q30" s="72"/>
      <c r="R30" s="183">
        <f>R28-R29</f>
        <v>533401000</v>
      </c>
      <c r="S30" s="72"/>
      <c r="T30" s="72"/>
      <c r="U30" s="72"/>
      <c r="V30" s="72"/>
      <c r="W30" s="72"/>
      <c r="X30" s="72"/>
      <c r="Y30" s="72"/>
      <c r="Z30" s="72"/>
      <c r="AA30" s="72"/>
    </row>
    <row r="31" spans="1:28" ht="15" customHeight="1" thickBot="1" x14ac:dyDescent="0.25">
      <c r="B31" s="110" t="s">
        <v>76</v>
      </c>
      <c r="C31" s="163">
        <v>672185</v>
      </c>
      <c r="D31" s="21">
        <v>171354</v>
      </c>
      <c r="E31" s="21">
        <v>169783</v>
      </c>
      <c r="F31" s="193">
        <v>160382</v>
      </c>
      <c r="G31" s="193">
        <v>170298</v>
      </c>
      <c r="H31" s="25">
        <f t="shared" si="9"/>
        <v>671817</v>
      </c>
      <c r="I31" s="34"/>
      <c r="K31" s="55">
        <f t="shared" si="10"/>
        <v>0.99945253166910897</v>
      </c>
      <c r="L31" s="70"/>
      <c r="M31" s="70"/>
      <c r="N31" s="72"/>
      <c r="O31" s="72"/>
      <c r="P31" s="72"/>
      <c r="Q31" s="72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87"/>
    </row>
    <row r="32" spans="1:28" ht="15" customHeight="1" thickBot="1" x14ac:dyDescent="0.25">
      <c r="B32" s="110" t="s">
        <v>3</v>
      </c>
      <c r="C32" s="163">
        <v>1861517</v>
      </c>
      <c r="D32" s="21">
        <v>476614</v>
      </c>
      <c r="E32" s="21">
        <v>476655</v>
      </c>
      <c r="F32" s="193">
        <v>431487</v>
      </c>
      <c r="G32" s="21">
        <v>476479</v>
      </c>
      <c r="H32" s="25">
        <f t="shared" si="9"/>
        <v>1861235</v>
      </c>
      <c r="I32" s="109"/>
      <c r="K32" s="55">
        <f t="shared" si="10"/>
        <v>0.99984851065018476</v>
      </c>
      <c r="L32" s="70"/>
      <c r="M32" s="70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2"/>
      <c r="AA32" s="72"/>
    </row>
    <row r="33" spans="1:28" ht="15" customHeight="1" thickBot="1" x14ac:dyDescent="0.25">
      <c r="B33" s="110" t="s">
        <v>10</v>
      </c>
      <c r="C33" s="163">
        <v>6164</v>
      </c>
      <c r="D33" s="21">
        <v>1546</v>
      </c>
      <c r="E33" s="21">
        <v>1532</v>
      </c>
      <c r="F33" s="21">
        <v>1536</v>
      </c>
      <c r="G33" s="21">
        <v>1550</v>
      </c>
      <c r="H33" s="25">
        <f t="shared" si="9"/>
        <v>6164</v>
      </c>
      <c r="I33" s="98"/>
      <c r="K33" s="55">
        <f t="shared" si="10"/>
        <v>1</v>
      </c>
      <c r="L33" s="70"/>
      <c r="M33" s="70"/>
      <c r="N33" s="70"/>
      <c r="O33" s="190" t="s">
        <v>107</v>
      </c>
      <c r="P33" s="189"/>
      <c r="Q33" s="189"/>
      <c r="R33" s="70"/>
      <c r="S33" s="70"/>
      <c r="T33" s="70"/>
      <c r="U33" s="70"/>
      <c r="V33" s="72"/>
      <c r="W33" s="72"/>
      <c r="X33" s="72"/>
      <c r="Y33" s="72"/>
      <c r="Z33" s="72"/>
      <c r="AA33" s="72"/>
    </row>
    <row r="34" spans="1:28" ht="15" customHeight="1" thickBot="1" x14ac:dyDescent="0.25">
      <c r="A34" t="s">
        <v>114</v>
      </c>
      <c r="B34" s="110" t="s">
        <v>2</v>
      </c>
      <c r="C34" s="163">
        <f>2662452+117</f>
        <v>2662569</v>
      </c>
      <c r="D34" s="21">
        <v>678143</v>
      </c>
      <c r="E34" s="193">
        <v>681214</v>
      </c>
      <c r="F34" s="193">
        <v>615945</v>
      </c>
      <c r="G34" s="193">
        <v>675969</v>
      </c>
      <c r="H34" s="25">
        <f t="shared" si="9"/>
        <v>2651271</v>
      </c>
      <c r="K34" s="55">
        <f t="shared" si="10"/>
        <v>0.99575672968475182</v>
      </c>
      <c r="L34" s="70">
        <v>16077</v>
      </c>
      <c r="M34" s="70">
        <f>H34+L34</f>
        <v>2667348</v>
      </c>
      <c r="N34" s="72">
        <f>M34/C34</f>
        <v>1.0017948830621854</v>
      </c>
      <c r="O34" s="72"/>
      <c r="P34" s="70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1:28" ht="15" customHeight="1" thickBot="1" x14ac:dyDescent="0.25">
      <c r="B35" s="110" t="s">
        <v>12</v>
      </c>
      <c r="C35" s="163">
        <v>175383</v>
      </c>
      <c r="D35" s="21">
        <v>44820</v>
      </c>
      <c r="E35" s="21">
        <v>44440</v>
      </c>
      <c r="F35" s="21">
        <v>41223</v>
      </c>
      <c r="G35" s="21">
        <v>44884</v>
      </c>
      <c r="H35" s="25">
        <f t="shared" si="9"/>
        <v>175367</v>
      </c>
      <c r="K35" s="55">
        <f t="shared" si="10"/>
        <v>0.99990877108955833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2"/>
      <c r="W35" s="72"/>
      <c r="X35" s="72"/>
      <c r="Y35" s="72"/>
      <c r="Z35" s="72"/>
      <c r="AA35" s="72"/>
    </row>
    <row r="36" spans="1:28" ht="15" customHeight="1" thickBot="1" x14ac:dyDescent="0.25">
      <c r="B36" s="110" t="s">
        <v>6</v>
      </c>
      <c r="C36" s="163">
        <v>431836</v>
      </c>
      <c r="D36" s="21">
        <v>112057</v>
      </c>
      <c r="E36" s="21">
        <v>111137</v>
      </c>
      <c r="F36" s="193">
        <v>103447</v>
      </c>
      <c r="G36" s="193">
        <v>110201</v>
      </c>
      <c r="H36" s="25">
        <f t="shared" si="9"/>
        <v>436842</v>
      </c>
      <c r="K36" s="55">
        <f t="shared" si="10"/>
        <v>1.0115923637677267</v>
      </c>
      <c r="L36" s="70"/>
      <c r="M36" s="70"/>
      <c r="N36" s="72"/>
      <c r="O36" s="72" t="s">
        <v>108</v>
      </c>
      <c r="P36" s="70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8" ht="15" customHeight="1" thickBot="1" x14ac:dyDescent="0.25">
      <c r="B37" s="110" t="s">
        <v>8</v>
      </c>
      <c r="C37" s="163">
        <v>39917</v>
      </c>
      <c r="D37" s="21">
        <v>10583</v>
      </c>
      <c r="E37" s="21">
        <v>11516</v>
      </c>
      <c r="F37" s="21">
        <v>5881</v>
      </c>
      <c r="G37" s="21">
        <v>10928</v>
      </c>
      <c r="H37" s="25">
        <f t="shared" si="9"/>
        <v>38908</v>
      </c>
      <c r="K37" s="55">
        <f t="shared" si="10"/>
        <v>0.97472254928977631</v>
      </c>
      <c r="L37" s="70"/>
      <c r="M37" s="70"/>
      <c r="N37" s="72"/>
      <c r="O37" s="195" t="s">
        <v>109</v>
      </c>
      <c r="P37" s="70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8" ht="15" customHeight="1" thickBot="1" x14ac:dyDescent="0.25">
      <c r="B38" s="110" t="s">
        <v>83</v>
      </c>
      <c r="C38" s="163">
        <v>331690.92</v>
      </c>
      <c r="D38" s="21">
        <v>84441.43</v>
      </c>
      <c r="E38" s="21">
        <v>84659.81</v>
      </c>
      <c r="F38" s="21">
        <v>75611.289999999994</v>
      </c>
      <c r="G38" s="21">
        <v>85429.69</v>
      </c>
      <c r="H38" s="25">
        <f t="shared" si="9"/>
        <v>330142.21999999997</v>
      </c>
      <c r="K38" s="55">
        <f t="shared" si="10"/>
        <v>0.99533089419511389</v>
      </c>
      <c r="L38" s="70">
        <v>0</v>
      </c>
      <c r="M38" s="70"/>
      <c r="N38" s="72"/>
      <c r="O38" s="195" t="s">
        <v>110</v>
      </c>
      <c r="P38" s="70"/>
      <c r="Q38" s="72"/>
      <c r="R38" s="72"/>
      <c r="S38" s="72"/>
      <c r="T38" s="72"/>
      <c r="U38" s="72"/>
      <c r="V38" s="72"/>
      <c r="W38" s="72"/>
      <c r="X38" s="119"/>
      <c r="Y38" s="72"/>
      <c r="Z38" s="72"/>
      <c r="AA38" s="72"/>
    </row>
    <row r="39" spans="1:28" ht="15" customHeight="1" thickBot="1" x14ac:dyDescent="0.25">
      <c r="B39" s="110" t="s">
        <v>5</v>
      </c>
      <c r="C39" s="163">
        <v>314302</v>
      </c>
      <c r="D39" s="21">
        <v>80254</v>
      </c>
      <c r="E39" s="193">
        <v>79583</v>
      </c>
      <c r="F39" s="193">
        <v>74068</v>
      </c>
      <c r="G39" s="193">
        <v>80024</v>
      </c>
      <c r="H39" s="25">
        <f t="shared" si="9"/>
        <v>313929</v>
      </c>
      <c r="K39" s="55">
        <f t="shared" si="10"/>
        <v>0.99881324331375554</v>
      </c>
      <c r="L39" s="70">
        <v>2082</v>
      </c>
      <c r="M39" s="70">
        <f>H39+L39</f>
        <v>316011</v>
      </c>
      <c r="N39" s="72">
        <f>M39/C39</f>
        <v>1.005437445514187</v>
      </c>
      <c r="O39" s="184"/>
      <c r="P39" s="70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</row>
    <row r="40" spans="1:28" ht="15" customHeight="1" thickBot="1" x14ac:dyDescent="0.25">
      <c r="B40" s="110" t="s">
        <v>67</v>
      </c>
      <c r="C40" s="163">
        <v>84640</v>
      </c>
      <c r="D40" s="21">
        <v>21412</v>
      </c>
      <c r="E40" s="21">
        <v>21176</v>
      </c>
      <c r="F40" s="21">
        <v>20596</v>
      </c>
      <c r="G40" s="21">
        <v>21452</v>
      </c>
      <c r="H40" s="25">
        <f t="shared" si="9"/>
        <v>84636</v>
      </c>
      <c r="K40" s="55">
        <f t="shared" si="10"/>
        <v>0.9999527410207939</v>
      </c>
      <c r="L40" s="70">
        <v>0</v>
      </c>
      <c r="M40" s="70"/>
      <c r="N40" s="72"/>
      <c r="O40" s="72"/>
      <c r="P40" s="70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1:28" ht="15" customHeight="1" thickBot="1" x14ac:dyDescent="0.25">
      <c r="B41" s="153" t="s">
        <v>96</v>
      </c>
      <c r="C41" s="21"/>
      <c r="D41" s="21"/>
      <c r="E41" s="21"/>
      <c r="F41" s="21"/>
      <c r="G41" s="21"/>
      <c r="H41" s="25"/>
      <c r="K41" s="56"/>
      <c r="L41" s="70"/>
      <c r="M41" s="70"/>
      <c r="N41" s="72"/>
      <c r="O41" s="72"/>
      <c r="P41" s="70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1:28" ht="15" customHeight="1" thickBot="1" x14ac:dyDescent="0.25">
      <c r="B42" s="113" t="s">
        <v>40</v>
      </c>
      <c r="C42" s="28">
        <f>SUM(C28:C41)</f>
        <v>20708051.920000002</v>
      </c>
      <c r="D42" s="28">
        <f t="shared" ref="D42:H42" si="11">SUM(D28:D41)</f>
        <v>5283293.43</v>
      </c>
      <c r="E42" s="28">
        <f t="shared" si="11"/>
        <v>5302172.8099999996</v>
      </c>
      <c r="F42" s="28">
        <f t="shared" si="11"/>
        <v>4819031.29</v>
      </c>
      <c r="G42" s="28">
        <f t="shared" si="11"/>
        <v>5281517.6900000004</v>
      </c>
      <c r="H42" s="26">
        <f t="shared" si="11"/>
        <v>20686015.219999999</v>
      </c>
      <c r="K42" s="33">
        <f t="shared" si="10"/>
        <v>0.99893583905984318</v>
      </c>
      <c r="L42" s="70"/>
      <c r="M42" s="70"/>
      <c r="N42" s="72"/>
      <c r="O42" s="72"/>
      <c r="P42" s="70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</row>
    <row r="43" spans="1:28" ht="13.5" thickBot="1" x14ac:dyDescent="0.25">
      <c r="B43" s="114" t="s">
        <v>32</v>
      </c>
      <c r="H43" s="29"/>
      <c r="K43" s="57"/>
      <c r="L43" s="70"/>
      <c r="M43" s="70"/>
      <c r="N43" s="72"/>
      <c r="O43" s="72"/>
      <c r="P43" s="70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</row>
    <row r="44" spans="1:28" ht="15" x14ac:dyDescent="0.25">
      <c r="B44" s="115" t="s">
        <v>33</v>
      </c>
      <c r="C44" s="25">
        <f>4033772.6+248508.1</f>
        <v>4282280.7</v>
      </c>
      <c r="D44" s="25"/>
      <c r="E44" s="25"/>
      <c r="F44" s="25"/>
      <c r="G44" s="25"/>
      <c r="H44" s="167">
        <f>D44+E44</f>
        <v>0</v>
      </c>
      <c r="I44" s="34"/>
      <c r="K44" s="33">
        <f>H44/C44</f>
        <v>0</v>
      </c>
      <c r="L44" s="70"/>
      <c r="M44" s="70"/>
      <c r="N44" s="72"/>
      <c r="O44" s="72"/>
      <c r="P44" s="70"/>
      <c r="Q44" s="72"/>
      <c r="R44" s="72"/>
      <c r="S44" s="72"/>
      <c r="T44" s="72"/>
      <c r="U44" s="72"/>
      <c r="V44" s="148"/>
      <c r="W44" s="148"/>
      <c r="X44" s="72"/>
      <c r="Y44" s="72"/>
      <c r="Z44" s="119"/>
      <c r="AA44" s="72"/>
      <c r="AB44" s="60"/>
    </row>
    <row r="45" spans="1:28" ht="15" x14ac:dyDescent="0.25">
      <c r="B45" s="116" t="s">
        <v>34</v>
      </c>
      <c r="C45" s="137"/>
      <c r="D45" s="21">
        <f>18569.77+16855.776+18465.358</f>
        <v>53890.904000000002</v>
      </c>
      <c r="E45" s="21"/>
      <c r="F45" s="21"/>
      <c r="G45" s="21"/>
      <c r="H45" s="27">
        <f>D45+E45+F45+G45</f>
        <v>53890.904000000002</v>
      </c>
      <c r="I45" s="34"/>
      <c r="K45" s="55" t="e">
        <f>(D45+E45+F45+G45)/C45</f>
        <v>#DIV/0!</v>
      </c>
      <c r="L45" s="70"/>
      <c r="M45" s="70"/>
      <c r="N45" s="72"/>
      <c r="O45" s="207"/>
      <c r="P45" s="70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58"/>
    </row>
    <row r="46" spans="1:28" ht="15.75" thickBot="1" x14ac:dyDescent="0.3">
      <c r="B46" s="116" t="s">
        <v>35</v>
      </c>
      <c r="C46" s="165">
        <v>25372.799999999999</v>
      </c>
      <c r="D46" s="108">
        <v>6505.2</v>
      </c>
      <c r="E46" s="30">
        <v>6652.8</v>
      </c>
      <c r="F46" s="30">
        <v>5590.8</v>
      </c>
      <c r="G46" s="39">
        <v>6624</v>
      </c>
      <c r="H46" s="27">
        <f>D46+E46+F46+G46</f>
        <v>25372.799999999999</v>
      </c>
      <c r="K46" s="56">
        <f>(D46+E46+F46+G46)/C46</f>
        <v>1</v>
      </c>
      <c r="L46" s="70"/>
      <c r="M46" s="70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8" ht="13.5" thickBot="1" x14ac:dyDescent="0.25">
      <c r="B47" s="22" t="s">
        <v>13</v>
      </c>
      <c r="C47" s="66">
        <f>SUM(C44:C46)</f>
        <v>4307653.5</v>
      </c>
      <c r="D47" s="28">
        <f>SUM(D44:D46)</f>
        <v>60396.103999999999</v>
      </c>
      <c r="E47" s="28">
        <f>SUM(E44:E46)</f>
        <v>6652.8</v>
      </c>
      <c r="F47" s="28"/>
      <c r="G47" s="31"/>
      <c r="H47" s="29">
        <f>SUM(H44:H46)</f>
        <v>79263.703999999998</v>
      </c>
      <c r="K47" s="56">
        <f>(D47+E47+F47+G47)/C47</f>
        <v>1.5565064367410238E-2</v>
      </c>
      <c r="L47" s="70"/>
      <c r="M47" s="70"/>
      <c r="N47" s="72"/>
      <c r="O47" s="72"/>
      <c r="P47" s="72"/>
      <c r="Q47" s="72"/>
      <c r="R47" s="72"/>
      <c r="S47" s="72"/>
      <c r="T47" s="72"/>
      <c r="U47" s="72"/>
      <c r="V47" s="119"/>
      <c r="W47" s="72"/>
      <c r="X47" s="72"/>
      <c r="Y47" s="72"/>
      <c r="Z47" s="72"/>
      <c r="AA47" s="72"/>
    </row>
    <row r="50" spans="2:17" ht="13.5" thickBot="1" x14ac:dyDescent="0.25">
      <c r="B50" t="s">
        <v>102</v>
      </c>
      <c r="C50" s="178" t="s">
        <v>99</v>
      </c>
      <c r="D50" s="178" t="s">
        <v>100</v>
      </c>
      <c r="E50" s="178" t="s">
        <v>98</v>
      </c>
      <c r="F50" s="178" t="s">
        <v>103</v>
      </c>
      <c r="G50" s="178" t="s">
        <v>104</v>
      </c>
    </row>
    <row r="51" spans="2:17" x14ac:dyDescent="0.2">
      <c r="B51" s="112" t="s">
        <v>86</v>
      </c>
      <c r="C51" s="25">
        <v>4564548</v>
      </c>
      <c r="D51" s="25">
        <v>4538710</v>
      </c>
      <c r="E51" s="173">
        <v>4649544</v>
      </c>
      <c r="F51" s="179">
        <f>E51/C51*100</f>
        <v>101.86209017847989</v>
      </c>
      <c r="G51" s="180">
        <f>E51/D51*100</f>
        <v>102.44197139715911</v>
      </c>
      <c r="L51" s="70">
        <f>417670+378788+390010</f>
        <v>1186468</v>
      </c>
      <c r="M51" s="70">
        <f>10358535.02+9504770.55+9806833.25</f>
        <v>29670138.82</v>
      </c>
    </row>
    <row r="52" spans="2:17" x14ac:dyDescent="0.2">
      <c r="B52" s="110" t="s">
        <v>16</v>
      </c>
      <c r="C52" s="21">
        <v>6572285</v>
      </c>
      <c r="D52" s="21">
        <v>6648282</v>
      </c>
      <c r="E52" s="174">
        <v>6594114</v>
      </c>
      <c r="F52" s="179">
        <f t="shared" ref="F52:F65" si="12">E52/C52*100</f>
        <v>100.33213714864769</v>
      </c>
      <c r="G52" s="181">
        <f t="shared" ref="G52:G65" si="13">E52/D52*100</f>
        <v>99.185233117367773</v>
      </c>
      <c r="K52" s="4" t="s">
        <v>119</v>
      </c>
      <c r="L52" s="70">
        <f>389517+406573+402742</f>
        <v>1198832</v>
      </c>
      <c r="M52" s="70">
        <f>9553584.56+10073077.66+10037133.48</f>
        <v>29663795.699999999</v>
      </c>
    </row>
    <row r="53" spans="2:17" ht="13.5" thickBot="1" x14ac:dyDescent="0.25">
      <c r="B53" s="110" t="s">
        <v>4</v>
      </c>
      <c r="C53" s="21">
        <v>2851270</v>
      </c>
      <c r="D53" s="21">
        <v>2857120</v>
      </c>
      <c r="E53" s="174">
        <v>2871879</v>
      </c>
      <c r="F53" s="179">
        <f t="shared" si="12"/>
        <v>100.72280071687354</v>
      </c>
      <c r="G53" s="179">
        <f t="shared" si="13"/>
        <v>100.51656913255307</v>
      </c>
      <c r="K53" s="72"/>
      <c r="L53" s="70">
        <f>328430+363541+376619</f>
        <v>1068590</v>
      </c>
      <c r="M53" s="70">
        <f>8583496.24+9628867.78+8149860.18</f>
        <v>26362224.199999999</v>
      </c>
    </row>
    <row r="54" spans="2:17" x14ac:dyDescent="0.2">
      <c r="B54" s="110" t="s">
        <v>76</v>
      </c>
      <c r="C54" s="21">
        <v>680070</v>
      </c>
      <c r="D54" s="21">
        <v>674010</v>
      </c>
      <c r="E54" s="174">
        <v>672185</v>
      </c>
      <c r="F54" s="179">
        <f t="shared" si="12"/>
        <v>98.840560530533622</v>
      </c>
      <c r="G54" s="181">
        <f t="shared" si="13"/>
        <v>99.729232503968774</v>
      </c>
      <c r="L54" s="70"/>
      <c r="M54" s="70"/>
      <c r="O54" s="112"/>
      <c r="P54" s="164"/>
      <c r="Q54" s="112"/>
    </row>
    <row r="55" spans="2:17" ht="13.5" thickBot="1" x14ac:dyDescent="0.25">
      <c r="B55" s="110" t="s">
        <v>3</v>
      </c>
      <c r="C55" s="21">
        <v>1855506</v>
      </c>
      <c r="D55" s="21">
        <v>1855467</v>
      </c>
      <c r="E55" s="174">
        <v>1861517</v>
      </c>
      <c r="F55" s="179">
        <f t="shared" si="12"/>
        <v>100.32395475951034</v>
      </c>
      <c r="G55" s="179">
        <f t="shared" si="13"/>
        <v>100.32606346542407</v>
      </c>
      <c r="K55" s="72"/>
      <c r="L55" s="70"/>
      <c r="M55" s="70"/>
      <c r="O55" s="186">
        <f>P55/20695624</f>
        <v>0.31862358921866768</v>
      </c>
      <c r="P55" s="163">
        <v>6594114</v>
      </c>
      <c r="Q55" s="110" t="s">
        <v>16</v>
      </c>
    </row>
    <row r="56" spans="2:17" x14ac:dyDescent="0.2">
      <c r="B56" s="110" t="s">
        <v>10</v>
      </c>
      <c r="C56" s="21">
        <v>6164</v>
      </c>
      <c r="D56" s="21">
        <v>6164</v>
      </c>
      <c r="E56" s="174">
        <v>6164</v>
      </c>
      <c r="F56" s="179">
        <f t="shared" si="12"/>
        <v>100</v>
      </c>
      <c r="G56" s="179">
        <f t="shared" si="13"/>
        <v>100</v>
      </c>
      <c r="L56" s="70"/>
      <c r="M56" s="70"/>
      <c r="O56" s="186">
        <f t="shared" ref="O56:O67" si="14">P56/20695624</f>
        <v>0.25714271770689301</v>
      </c>
      <c r="P56" s="164">
        <f>4649544+672185</f>
        <v>5321729</v>
      </c>
      <c r="Q56" s="112" t="s">
        <v>86</v>
      </c>
    </row>
    <row r="57" spans="2:17" x14ac:dyDescent="0.2">
      <c r="B57" s="110" t="s">
        <v>2</v>
      </c>
      <c r="C57" s="21">
        <v>2621114</v>
      </c>
      <c r="D57" s="21">
        <v>2638130</v>
      </c>
      <c r="E57" s="174">
        <v>2662452</v>
      </c>
      <c r="F57" s="179">
        <f t="shared" si="12"/>
        <v>101.57711568439984</v>
      </c>
      <c r="G57" s="179">
        <f t="shared" si="13"/>
        <v>100.92194092027307</v>
      </c>
      <c r="L57" s="70"/>
      <c r="M57" s="70"/>
      <c r="O57" s="186">
        <f t="shared" si="14"/>
        <v>0.13876745151535416</v>
      </c>
      <c r="P57" s="163">
        <v>2871879</v>
      </c>
      <c r="Q57" s="110" t="s">
        <v>4</v>
      </c>
    </row>
    <row r="58" spans="2:17" x14ac:dyDescent="0.2">
      <c r="B58" s="110" t="s">
        <v>12</v>
      </c>
      <c r="C58" s="21">
        <v>175324</v>
      </c>
      <c r="D58" s="21">
        <v>173063</v>
      </c>
      <c r="E58" s="174">
        <v>175383</v>
      </c>
      <c r="F58" s="179">
        <f t="shared" si="12"/>
        <v>100.03365198147429</v>
      </c>
      <c r="G58" s="179">
        <f t="shared" si="13"/>
        <v>101.34055228442821</v>
      </c>
      <c r="O58" s="186">
        <f t="shared" si="14"/>
        <v>0.12864806589064431</v>
      </c>
      <c r="P58" s="163">
        <v>2662452</v>
      </c>
      <c r="Q58" s="110" t="s">
        <v>2</v>
      </c>
    </row>
    <row r="59" spans="2:17" x14ac:dyDescent="0.2">
      <c r="B59" s="110" t="s">
        <v>6</v>
      </c>
      <c r="C59" s="21">
        <v>430666</v>
      </c>
      <c r="D59" s="21">
        <v>440397</v>
      </c>
      <c r="E59" s="174">
        <v>431836</v>
      </c>
      <c r="F59" s="179">
        <f t="shared" si="12"/>
        <v>100.27167224717066</v>
      </c>
      <c r="G59" s="181">
        <f t="shared" si="13"/>
        <v>98.056072134914629</v>
      </c>
      <c r="O59" s="186">
        <f t="shared" si="14"/>
        <v>8.9947372449364169E-2</v>
      </c>
      <c r="P59" s="163">
        <v>1861517</v>
      </c>
      <c r="Q59" s="110" t="s">
        <v>3</v>
      </c>
    </row>
    <row r="60" spans="2:17" x14ac:dyDescent="0.2">
      <c r="B60" s="110" t="s">
        <v>8</v>
      </c>
      <c r="C60" s="21">
        <v>39400</v>
      </c>
      <c r="D60" s="21">
        <v>38255</v>
      </c>
      <c r="E60" s="174">
        <v>39917</v>
      </c>
      <c r="F60" s="179">
        <f t="shared" si="12"/>
        <v>101.31218274111676</v>
      </c>
      <c r="G60" s="180">
        <f t="shared" si="13"/>
        <v>104.34453012678082</v>
      </c>
      <c r="O60" s="186">
        <f t="shared" si="14"/>
        <v>2.0866053615972151E-2</v>
      </c>
      <c r="P60" s="163">
        <v>431836</v>
      </c>
      <c r="Q60" s="110" t="s">
        <v>6</v>
      </c>
    </row>
    <row r="61" spans="2:17" x14ac:dyDescent="0.2">
      <c r="B61" s="110" t="s">
        <v>83</v>
      </c>
      <c r="C61" s="21">
        <v>237548.4</v>
      </c>
      <c r="D61" s="21">
        <v>237317.89999999997</v>
      </c>
      <c r="E61" s="174">
        <v>331690.92</v>
      </c>
      <c r="F61" s="180">
        <f t="shared" si="12"/>
        <v>139.6308794334123</v>
      </c>
      <c r="G61" s="180">
        <f t="shared" si="13"/>
        <v>139.76649886081077</v>
      </c>
      <c r="O61" s="186">
        <f t="shared" si="14"/>
        <v>1.6027104087318167E-2</v>
      </c>
      <c r="P61" s="163">
        <v>331690.92</v>
      </c>
      <c r="Q61" s="110" t="s">
        <v>83</v>
      </c>
    </row>
    <row r="62" spans="2:17" x14ac:dyDescent="0.2">
      <c r="B62" s="110" t="s">
        <v>5</v>
      </c>
      <c r="C62" s="21">
        <v>314136</v>
      </c>
      <c r="D62" s="21">
        <v>317536</v>
      </c>
      <c r="E62" s="174">
        <v>314302</v>
      </c>
      <c r="F62" s="179">
        <f t="shared" si="12"/>
        <v>100.05284335447067</v>
      </c>
      <c r="G62" s="181">
        <f t="shared" si="13"/>
        <v>98.981532802579864</v>
      </c>
      <c r="O62" s="186">
        <f t="shared" si="14"/>
        <v>1.5186882019116698E-2</v>
      </c>
      <c r="P62" s="163">
        <v>314302</v>
      </c>
      <c r="Q62" s="110" t="s">
        <v>5</v>
      </c>
    </row>
    <row r="63" spans="2:17" x14ac:dyDescent="0.2">
      <c r="B63" s="110" t="s">
        <v>67</v>
      </c>
      <c r="C63" s="21">
        <f>83712+1000</f>
        <v>84712</v>
      </c>
      <c r="D63" s="21">
        <v>84644</v>
      </c>
      <c r="E63" s="174">
        <v>84640</v>
      </c>
      <c r="F63" s="179">
        <f t="shared" si="12"/>
        <v>99.915006138445563</v>
      </c>
      <c r="G63" s="179">
        <f t="shared" si="13"/>
        <v>99.995274325409952</v>
      </c>
      <c r="O63" s="186">
        <f t="shared" si="14"/>
        <v>8.474400192040597E-3</v>
      </c>
      <c r="P63" s="163">
        <v>175383</v>
      </c>
      <c r="Q63" s="110" t="s">
        <v>12</v>
      </c>
    </row>
    <row r="64" spans="2:17" ht="13.5" thickBot="1" x14ac:dyDescent="0.25">
      <c r="B64" s="175" t="s">
        <v>101</v>
      </c>
      <c r="C64" s="176">
        <v>2340</v>
      </c>
      <c r="D64" s="176">
        <v>2220</v>
      </c>
      <c r="E64" s="177"/>
      <c r="F64" s="179"/>
      <c r="G64" s="179"/>
      <c r="O64" s="186">
        <f t="shared" si="14"/>
        <v>4.0897534667232067E-3</v>
      </c>
      <c r="P64" s="163">
        <v>84640</v>
      </c>
      <c r="Q64" s="110" t="s">
        <v>67</v>
      </c>
    </row>
    <row r="65" spans="2:18" ht="13.5" thickBot="1" x14ac:dyDescent="0.25">
      <c r="B65" s="113" t="s">
        <v>13</v>
      </c>
      <c r="C65" s="28">
        <f t="shared" ref="C65" si="15">SUM(C51:C64)</f>
        <v>20435083.399999999</v>
      </c>
      <c r="D65" s="28">
        <v>20511315.899999999</v>
      </c>
      <c r="E65" s="29">
        <f>SUM(E51:E64)</f>
        <v>20695623.920000002</v>
      </c>
      <c r="F65" s="179">
        <f t="shared" si="12"/>
        <v>101.27496675643614</v>
      </c>
      <c r="G65" s="179">
        <f t="shared" si="13"/>
        <v>100.89856750731437</v>
      </c>
      <c r="O65" s="186">
        <f t="shared" si="14"/>
        <v>1.9287652307560285E-3</v>
      </c>
      <c r="P65" s="163">
        <v>39917</v>
      </c>
      <c r="Q65" s="110" t="s">
        <v>8</v>
      </c>
    </row>
    <row r="66" spans="2:18" x14ac:dyDescent="0.2">
      <c r="O66" s="186">
        <f t="shared" si="14"/>
        <v>2.9784074159832052E-4</v>
      </c>
      <c r="P66" s="163">
        <v>6164</v>
      </c>
      <c r="Q66" s="185" t="s">
        <v>10</v>
      </c>
    </row>
    <row r="67" spans="2:18" x14ac:dyDescent="0.2">
      <c r="O67" s="186">
        <f t="shared" si="14"/>
        <v>0.99999999613444857</v>
      </c>
      <c r="P67" s="163">
        <f>SUM(P55:P66)</f>
        <v>20695623.920000002</v>
      </c>
      <c r="Q67" s="185"/>
      <c r="R67" s="70"/>
    </row>
    <row r="68" spans="2:18" x14ac:dyDescent="0.2">
      <c r="H68">
        <v>148716.64000000001</v>
      </c>
      <c r="I68">
        <v>1220710.3</v>
      </c>
      <c r="P68" s="70"/>
    </row>
    <row r="69" spans="2:18" x14ac:dyDescent="0.2">
      <c r="H69">
        <v>24131.84</v>
      </c>
      <c r="I69">
        <v>-148716.64000000001</v>
      </c>
    </row>
    <row r="70" spans="2:18" ht="13.5" thickBot="1" x14ac:dyDescent="0.25">
      <c r="H70">
        <v>151707.21</v>
      </c>
      <c r="I70">
        <v>-24131.84</v>
      </c>
      <c r="K70" s="4">
        <f>I69+I70</f>
        <v>-172848.48</v>
      </c>
    </row>
    <row r="71" spans="2:18" ht="13.5" thickBot="1" x14ac:dyDescent="0.25">
      <c r="C71" s="51">
        <f>542884966.7-25000000+9016033</f>
        <v>526900999.70000005</v>
      </c>
      <c r="H71">
        <v>4198.79</v>
      </c>
      <c r="I71">
        <f>SUM(I68:I70)</f>
        <v>1047861.8200000002</v>
      </c>
    </row>
    <row r="72" spans="2:18" ht="13.5" thickBot="1" x14ac:dyDescent="0.25">
      <c r="C72" s="34">
        <v>25000000</v>
      </c>
      <c r="H72">
        <v>21842.55</v>
      </c>
      <c r="O72" s="72">
        <f>P72/20695624</f>
        <v>0.31862358921866768</v>
      </c>
      <c r="P72" s="163">
        <v>6594114</v>
      </c>
      <c r="Q72" s="110" t="s">
        <v>16</v>
      </c>
    </row>
    <row r="73" spans="2:18" x14ac:dyDescent="0.2">
      <c r="C73" s="34">
        <v>6500000</v>
      </c>
      <c r="H73">
        <v>98961.42</v>
      </c>
      <c r="O73" s="72">
        <f t="shared" ref="O73:O82" si="16">P73/20695624</f>
        <v>0.25714271770689301</v>
      </c>
      <c r="P73" s="164">
        <f>4649544+672185</f>
        <v>5321729</v>
      </c>
      <c r="Q73" s="112" t="s">
        <v>86</v>
      </c>
    </row>
    <row r="74" spans="2:18" x14ac:dyDescent="0.2">
      <c r="C74" s="34">
        <f>SUM(C71:C73)</f>
        <v>558400999.70000005</v>
      </c>
      <c r="H74">
        <v>1795.35</v>
      </c>
      <c r="I74" s="34">
        <v>894821.1</v>
      </c>
      <c r="K74" s="4">
        <v>4198.79</v>
      </c>
      <c r="O74" s="72">
        <f t="shared" si="16"/>
        <v>0.13876745151535416</v>
      </c>
      <c r="P74" s="163">
        <v>2871879</v>
      </c>
      <c r="Q74" s="110" t="s">
        <v>4</v>
      </c>
    </row>
    <row r="75" spans="2:18" x14ac:dyDescent="0.2">
      <c r="H75">
        <v>16816.400000000001</v>
      </c>
      <c r="I75" s="34">
        <v>1067670</v>
      </c>
      <c r="K75" s="4">
        <v>21842.55</v>
      </c>
      <c r="O75" s="72">
        <f t="shared" si="16"/>
        <v>0.13712246608268491</v>
      </c>
      <c r="P75" s="163">
        <f>2662452+175383</f>
        <v>2837835</v>
      </c>
      <c r="Q75" s="110" t="s">
        <v>2</v>
      </c>
    </row>
    <row r="76" spans="2:18" x14ac:dyDescent="0.2">
      <c r="C76" s="2">
        <v>558401000</v>
      </c>
      <c r="H76">
        <f>SUM(H68:H75)</f>
        <v>468170.19999999995</v>
      </c>
      <c r="I76" s="34">
        <f>I75-I74</f>
        <v>172848.90000000002</v>
      </c>
      <c r="K76" s="4">
        <v>151707.21</v>
      </c>
      <c r="O76" s="72">
        <f t="shared" si="16"/>
        <v>9.02452131909625E-2</v>
      </c>
      <c r="P76" s="163">
        <f>1861517+6164</f>
        <v>1867681</v>
      </c>
      <c r="Q76" s="110" t="s">
        <v>3</v>
      </c>
    </row>
    <row r="77" spans="2:18" x14ac:dyDescent="0.2">
      <c r="C77" s="2">
        <f>C76-C74</f>
        <v>0.29999995231628418</v>
      </c>
      <c r="K77" s="4">
        <v>861612.8</v>
      </c>
      <c r="O77" s="72">
        <f t="shared" si="16"/>
        <v>2.0866053615972151E-2</v>
      </c>
      <c r="P77" s="163">
        <v>431836</v>
      </c>
      <c r="Q77" s="110" t="s">
        <v>6</v>
      </c>
    </row>
    <row r="78" spans="2:18" x14ac:dyDescent="0.2">
      <c r="K78" s="4">
        <f>SUM(K74:K77)</f>
        <v>1039361.3500000001</v>
      </c>
      <c r="O78" s="72">
        <f t="shared" si="16"/>
        <v>1.6027104087318167E-2</v>
      </c>
      <c r="P78" s="163">
        <v>331690.92</v>
      </c>
      <c r="Q78" s="110" t="s">
        <v>83</v>
      </c>
    </row>
    <row r="79" spans="2:18" x14ac:dyDescent="0.2">
      <c r="O79" s="72">
        <f t="shared" si="16"/>
        <v>1.5186882019116698E-2</v>
      </c>
      <c r="P79" s="163">
        <v>314302</v>
      </c>
      <c r="Q79" s="110" t="s">
        <v>5</v>
      </c>
    </row>
    <row r="80" spans="2:18" x14ac:dyDescent="0.2">
      <c r="C80" s="187">
        <v>526.9</v>
      </c>
      <c r="O80" s="72">
        <f t="shared" si="16"/>
        <v>4.0897534667232067E-3</v>
      </c>
      <c r="P80" s="163">
        <v>84640</v>
      </c>
      <c r="Q80" s="110" t="s">
        <v>67</v>
      </c>
    </row>
    <row r="81" spans="3:17" x14ac:dyDescent="0.2">
      <c r="C81" s="187">
        <v>25</v>
      </c>
      <c r="O81" s="72">
        <f t="shared" si="16"/>
        <v>1.9287652307560285E-3</v>
      </c>
      <c r="P81" s="163">
        <v>39917</v>
      </c>
      <c r="Q81" s="110" t="s">
        <v>8</v>
      </c>
    </row>
    <row r="82" spans="3:17" x14ac:dyDescent="0.2">
      <c r="C82" s="187">
        <v>6.5</v>
      </c>
      <c r="O82" s="72">
        <f t="shared" si="16"/>
        <v>0.99999999613444857</v>
      </c>
      <c r="P82" s="163">
        <f>SUM(P72:P81)</f>
        <v>20695623.920000002</v>
      </c>
      <c r="Q82" s="110"/>
    </row>
    <row r="83" spans="3:17" x14ac:dyDescent="0.2">
      <c r="C83" s="2">
        <f>SUM(C80:C82)</f>
        <v>558.4</v>
      </c>
      <c r="H83" s="34"/>
      <c r="P83" s="163"/>
      <c r="Q83" s="185"/>
    </row>
    <row r="84" spans="3:17" x14ac:dyDescent="0.2">
      <c r="H84" s="34"/>
    </row>
    <row r="85" spans="3:17" x14ac:dyDescent="0.2">
      <c r="H85" s="34"/>
    </row>
  </sheetData>
  <sortState xmlns:xlrd2="http://schemas.microsoft.com/office/spreadsheetml/2017/richdata2" ref="P55:Q66">
    <sortCondition descending="1" ref="P54"/>
  </sortState>
  <mergeCells count="4">
    <mergeCell ref="B25:K25"/>
    <mergeCell ref="B2:B3"/>
    <mergeCell ref="L26:M26"/>
    <mergeCell ref="A26:A27"/>
  </mergeCells>
  <phoneticPr fontId="0" type="noConversion"/>
  <pageMargins left="0" right="0" top="0.19685039370078741" bottom="0.19685039370078741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C6" sqref="C6"/>
    </sheetView>
  </sheetViews>
  <sheetFormatPr defaultRowHeight="12.75" x14ac:dyDescent="0.2"/>
  <cols>
    <col min="1" max="1" width="35.140625" customWidth="1"/>
  </cols>
  <sheetData>
    <row r="1" spans="1:5" x14ac:dyDescent="0.2">
      <c r="A1" s="242" t="s">
        <v>38</v>
      </c>
      <c r="B1" s="244" t="s">
        <v>39</v>
      </c>
      <c r="C1" s="244"/>
      <c r="D1" s="244"/>
      <c r="E1" s="244"/>
    </row>
    <row r="2" spans="1:5" x14ac:dyDescent="0.2">
      <c r="A2" s="243"/>
      <c r="B2" s="37">
        <v>2009</v>
      </c>
      <c r="C2" s="37">
        <v>2010</v>
      </c>
      <c r="D2" s="37">
        <v>2011</v>
      </c>
      <c r="E2" s="37">
        <v>2012</v>
      </c>
    </row>
    <row r="3" spans="1:5" x14ac:dyDescent="0.2">
      <c r="A3" s="41" t="s">
        <v>11</v>
      </c>
      <c r="B3" s="46">
        <v>57.42</v>
      </c>
      <c r="C3" s="46">
        <v>54.55</v>
      </c>
      <c r="D3" s="46">
        <v>54.57</v>
      </c>
      <c r="E3" s="37">
        <v>56.84</v>
      </c>
    </row>
    <row r="4" spans="1:5" x14ac:dyDescent="0.2">
      <c r="A4" s="41" t="s">
        <v>12</v>
      </c>
      <c r="B4" s="46">
        <v>40</v>
      </c>
      <c r="C4" s="46">
        <v>38.4</v>
      </c>
      <c r="D4" s="46">
        <v>40.43</v>
      </c>
      <c r="E4" s="37">
        <v>41.81</v>
      </c>
    </row>
    <row r="5" spans="1:5" x14ac:dyDescent="0.2">
      <c r="A5" s="41" t="s">
        <v>9</v>
      </c>
      <c r="B5" s="46">
        <v>33.9</v>
      </c>
      <c r="C5" s="46">
        <v>33.9</v>
      </c>
      <c r="D5" s="46">
        <v>34.76</v>
      </c>
      <c r="E5" s="37" t="s">
        <v>41</v>
      </c>
    </row>
    <row r="6" spans="1:5" x14ac:dyDescent="0.2">
      <c r="A6" s="41" t="s">
        <v>2</v>
      </c>
      <c r="B6" s="46">
        <v>35.4</v>
      </c>
      <c r="C6" s="46">
        <v>34.200000000000003</v>
      </c>
      <c r="D6" s="46">
        <v>34.6</v>
      </c>
      <c r="E6" s="52">
        <v>34.6</v>
      </c>
    </row>
    <row r="7" spans="1:5" x14ac:dyDescent="0.2">
      <c r="A7" s="41" t="s">
        <v>16</v>
      </c>
      <c r="B7" s="46">
        <v>34.92</v>
      </c>
      <c r="C7" s="46">
        <v>33.42</v>
      </c>
      <c r="D7" s="46">
        <v>34.17</v>
      </c>
      <c r="E7" s="52">
        <v>34.299999999999997</v>
      </c>
    </row>
    <row r="8" spans="1:5" x14ac:dyDescent="0.2">
      <c r="A8" s="41" t="s">
        <v>10</v>
      </c>
      <c r="B8" s="46">
        <v>35.53</v>
      </c>
      <c r="C8" s="46">
        <v>35.409999999999997</v>
      </c>
      <c r="D8" s="46">
        <v>34.090000000000003</v>
      </c>
      <c r="E8" s="52">
        <v>35.1</v>
      </c>
    </row>
    <row r="9" spans="1:5" x14ac:dyDescent="0.2">
      <c r="A9" s="41" t="s">
        <v>7</v>
      </c>
      <c r="B9" s="46">
        <v>33</v>
      </c>
      <c r="C9" s="46">
        <v>33.299999999999997</v>
      </c>
      <c r="D9" s="46">
        <v>33.699999999999996</v>
      </c>
      <c r="E9" s="52" t="s">
        <v>41</v>
      </c>
    </row>
    <row r="10" spans="1:5" x14ac:dyDescent="0.2">
      <c r="A10" s="41" t="s">
        <v>1</v>
      </c>
      <c r="B10" s="46">
        <v>35.479999999999997</v>
      </c>
      <c r="C10" s="46">
        <v>33.06</v>
      </c>
      <c r="D10" s="46">
        <v>33.47</v>
      </c>
      <c r="E10" s="52">
        <v>33.4</v>
      </c>
    </row>
    <row r="11" spans="1:5" x14ac:dyDescent="0.2">
      <c r="A11" s="41" t="s">
        <v>3</v>
      </c>
      <c r="B11" s="46">
        <v>34.119999999999997</v>
      </c>
      <c r="C11" s="46">
        <v>32.5</v>
      </c>
      <c r="D11" s="46">
        <v>32.6</v>
      </c>
      <c r="E11" s="52">
        <v>32.92</v>
      </c>
    </row>
    <row r="12" spans="1:5" x14ac:dyDescent="0.2">
      <c r="A12" s="41" t="s">
        <v>4</v>
      </c>
      <c r="B12" s="46">
        <v>32.880000000000003</v>
      </c>
      <c r="C12" s="46">
        <v>31.45</v>
      </c>
      <c r="D12" s="46">
        <v>31.450000000000003</v>
      </c>
      <c r="E12" s="52">
        <v>31.06</v>
      </c>
    </row>
    <row r="13" spans="1:5" x14ac:dyDescent="0.2">
      <c r="A13" s="41" t="s">
        <v>25</v>
      </c>
      <c r="B13" s="46">
        <v>30.5</v>
      </c>
      <c r="C13" s="46">
        <v>30.5</v>
      </c>
      <c r="D13" s="46">
        <v>30.5</v>
      </c>
      <c r="E13" s="52">
        <v>30.5</v>
      </c>
    </row>
    <row r="14" spans="1:5" x14ac:dyDescent="0.2">
      <c r="A14" s="41" t="s">
        <v>37</v>
      </c>
      <c r="B14" s="46">
        <v>31.19</v>
      </c>
      <c r="C14" s="46">
        <v>30.22</v>
      </c>
      <c r="D14" s="46">
        <v>30.220000000000002</v>
      </c>
      <c r="E14" s="52">
        <v>30.68</v>
      </c>
    </row>
    <row r="15" spans="1:5" x14ac:dyDescent="0.2">
      <c r="A15" s="41" t="s">
        <v>15</v>
      </c>
      <c r="B15" s="46">
        <v>29.5</v>
      </c>
      <c r="C15" s="46">
        <v>29.5</v>
      </c>
      <c r="D15" s="46">
        <v>29.5</v>
      </c>
      <c r="E15" s="52" t="s">
        <v>41</v>
      </c>
    </row>
    <row r="16" spans="1:5" x14ac:dyDescent="0.2">
      <c r="A16" s="41" t="s">
        <v>5</v>
      </c>
      <c r="B16" s="46">
        <v>28.9</v>
      </c>
      <c r="C16" s="46">
        <v>28.9</v>
      </c>
      <c r="D16" s="46">
        <v>28.900000000000002</v>
      </c>
      <c r="E16" s="52">
        <v>28.9</v>
      </c>
    </row>
    <row r="17" spans="1:5" x14ac:dyDescent="0.2">
      <c r="A17" s="41" t="s">
        <v>24</v>
      </c>
      <c r="B17" s="46">
        <v>28.5</v>
      </c>
      <c r="C17" s="46">
        <v>28.5</v>
      </c>
      <c r="D17" s="46">
        <v>28.5</v>
      </c>
      <c r="E17" s="52">
        <v>28</v>
      </c>
    </row>
    <row r="18" spans="1:5" x14ac:dyDescent="0.2">
      <c r="A18" s="44" t="s">
        <v>6</v>
      </c>
      <c r="B18" s="46">
        <v>27.35</v>
      </c>
      <c r="C18" s="46">
        <v>27.35</v>
      </c>
      <c r="D18" s="46">
        <v>27.35</v>
      </c>
      <c r="E18" s="52">
        <v>27.35</v>
      </c>
    </row>
    <row r="19" spans="1:5" x14ac:dyDescent="0.2">
      <c r="A19" s="41" t="s">
        <v>8</v>
      </c>
      <c r="B19" s="46">
        <v>30</v>
      </c>
      <c r="C19" s="46">
        <v>25</v>
      </c>
      <c r="D19" s="46">
        <v>25</v>
      </c>
      <c r="E19" s="52">
        <v>25</v>
      </c>
    </row>
    <row r="21" spans="1:5" x14ac:dyDescent="0.2">
      <c r="B21" s="45"/>
    </row>
  </sheetData>
  <sortState xmlns:xlrd2="http://schemas.microsoft.com/office/spreadsheetml/2017/richdata2" ref="A3:D19">
    <sortCondition descending="1" ref="D3"/>
  </sortState>
  <mergeCells count="2">
    <mergeCell ref="A1:A2"/>
    <mergeCell ref="B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C16" sqref="C16"/>
    </sheetView>
  </sheetViews>
  <sheetFormatPr defaultRowHeight="12.75" x14ac:dyDescent="0.2"/>
  <cols>
    <col min="1" max="1" width="10.7109375" customWidth="1"/>
    <col min="5" max="5" width="11" customWidth="1"/>
  </cols>
  <sheetData>
    <row r="1" spans="1:9" x14ac:dyDescent="0.2">
      <c r="C1" t="s">
        <v>56</v>
      </c>
      <c r="F1" t="s">
        <v>56</v>
      </c>
      <c r="I1" t="s">
        <v>56</v>
      </c>
    </row>
    <row r="2" spans="1:9" x14ac:dyDescent="0.2">
      <c r="A2" s="65" t="s">
        <v>54</v>
      </c>
      <c r="B2" t="s">
        <v>42</v>
      </c>
      <c r="C2" s="34">
        <v>552835</v>
      </c>
      <c r="E2" s="64" t="s">
        <v>57</v>
      </c>
      <c r="F2" s="34">
        <v>16879</v>
      </c>
      <c r="H2" s="64" t="s">
        <v>58</v>
      </c>
      <c r="I2" s="34">
        <v>5218</v>
      </c>
    </row>
    <row r="3" spans="1:9" x14ac:dyDescent="0.2">
      <c r="A3" s="65" t="s">
        <v>55</v>
      </c>
      <c r="B3" t="s">
        <v>43</v>
      </c>
      <c r="C3" s="34">
        <v>522972</v>
      </c>
      <c r="F3" s="34">
        <v>15136</v>
      </c>
      <c r="H3" s="64" t="s">
        <v>59</v>
      </c>
      <c r="I3" s="34">
        <v>4529</v>
      </c>
    </row>
    <row r="4" spans="1:9" x14ac:dyDescent="0.2">
      <c r="B4" t="s">
        <v>44</v>
      </c>
      <c r="C4" s="34">
        <v>548134</v>
      </c>
      <c r="F4" s="34">
        <v>16665</v>
      </c>
      <c r="H4" s="64" t="s">
        <v>60</v>
      </c>
      <c r="I4" s="34">
        <v>4537</v>
      </c>
    </row>
    <row r="5" spans="1:9" x14ac:dyDescent="0.2">
      <c r="B5" t="s">
        <v>45</v>
      </c>
      <c r="C5" s="34">
        <v>504417</v>
      </c>
      <c r="F5" s="34">
        <v>15174</v>
      </c>
      <c r="I5" s="34">
        <v>3920</v>
      </c>
    </row>
    <row r="6" spans="1:9" x14ac:dyDescent="0.2">
      <c r="B6" t="s">
        <v>46</v>
      </c>
      <c r="C6" s="34">
        <v>534708</v>
      </c>
      <c r="F6" s="34">
        <v>16503</v>
      </c>
      <c r="I6" s="34">
        <v>3584</v>
      </c>
    </row>
    <row r="7" spans="1:9" x14ac:dyDescent="0.2">
      <c r="B7" t="s">
        <v>47</v>
      </c>
      <c r="C7" s="34">
        <v>534595</v>
      </c>
      <c r="F7" s="34">
        <v>16470</v>
      </c>
      <c r="I7" s="34">
        <v>3860</v>
      </c>
    </row>
    <row r="8" spans="1:9" x14ac:dyDescent="0.2">
      <c r="B8" t="s">
        <v>48</v>
      </c>
      <c r="C8" s="34">
        <v>434767</v>
      </c>
      <c r="F8" s="34">
        <v>10033</v>
      </c>
      <c r="I8" s="34">
        <v>9491</v>
      </c>
    </row>
    <row r="9" spans="1:9" x14ac:dyDescent="0.2">
      <c r="B9" t="s">
        <v>49</v>
      </c>
      <c r="C9" s="34">
        <v>492582</v>
      </c>
      <c r="F9" s="34">
        <v>11360</v>
      </c>
      <c r="I9" s="34">
        <v>10651</v>
      </c>
    </row>
    <row r="10" spans="1:9" x14ac:dyDescent="0.2">
      <c r="B10" t="s">
        <v>50</v>
      </c>
      <c r="C10" s="34">
        <v>489570</v>
      </c>
      <c r="F10" s="34">
        <v>15024</v>
      </c>
      <c r="I10" s="34">
        <v>3623</v>
      </c>
    </row>
    <row r="11" spans="1:9" x14ac:dyDescent="0.2">
      <c r="B11" t="s">
        <v>51</v>
      </c>
      <c r="C11" s="34">
        <v>573874</v>
      </c>
      <c r="F11" s="34">
        <v>17385</v>
      </c>
      <c r="I11" s="34">
        <v>4872</v>
      </c>
    </row>
    <row r="12" spans="1:9" x14ac:dyDescent="0.2">
      <c r="B12" t="s">
        <v>52</v>
      </c>
      <c r="C12" s="34">
        <v>557306</v>
      </c>
      <c r="F12" s="34">
        <v>17190</v>
      </c>
      <c r="I12" s="34">
        <v>3964</v>
      </c>
    </row>
    <row r="13" spans="1:9" x14ac:dyDescent="0.2">
      <c r="B13" t="s">
        <v>53</v>
      </c>
      <c r="C13" s="34">
        <v>438748</v>
      </c>
      <c r="F13" s="34">
        <v>12918</v>
      </c>
      <c r="I13" s="34">
        <v>3186</v>
      </c>
    </row>
    <row r="14" spans="1:9" x14ac:dyDescent="0.2">
      <c r="B14" t="s">
        <v>36</v>
      </c>
      <c r="C14" s="34">
        <f>SUM(C2:C13)</f>
        <v>6184508</v>
      </c>
      <c r="F14" s="34">
        <f>SUM(F2:F13)</f>
        <v>180737</v>
      </c>
      <c r="I14" s="34">
        <f>SUM(I2:I13)</f>
        <v>61435</v>
      </c>
    </row>
    <row r="15" spans="1:9" x14ac:dyDescent="0.2">
      <c r="G15" s="34">
        <f>F14+I14</f>
        <v>242172</v>
      </c>
    </row>
    <row r="16" spans="1:9" x14ac:dyDescent="0.2">
      <c r="C16" s="34">
        <v>6184.5079999999998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workbookViewId="0">
      <selection activeCell="J25" sqref="J25"/>
    </sheetView>
  </sheetViews>
  <sheetFormatPr defaultRowHeight="12.75" x14ac:dyDescent="0.2"/>
  <cols>
    <col min="1" max="1" width="45.140625" customWidth="1"/>
    <col min="2" max="2" width="11.28515625" customWidth="1"/>
    <col min="3" max="3" width="12.42578125" customWidth="1"/>
    <col min="4" max="4" width="12" customWidth="1"/>
    <col min="5" max="5" width="9.85546875" customWidth="1"/>
    <col min="8" max="8" width="13.28515625" customWidth="1"/>
    <col min="9" max="9" width="13.140625" customWidth="1"/>
    <col min="10" max="10" width="17.28515625" customWidth="1"/>
    <col min="11" max="11" width="9.42578125" customWidth="1"/>
    <col min="13" max="13" width="11.28515625" customWidth="1"/>
    <col min="14" max="14" width="10.140625" bestFit="1" customWidth="1"/>
    <col min="18" max="18" width="11.140625" bestFit="1" customWidth="1"/>
    <col min="19" max="19" width="11.28515625" customWidth="1"/>
  </cols>
  <sheetData>
    <row r="1" spans="1:19" ht="39" thickBot="1" x14ac:dyDescent="0.25">
      <c r="A1" s="104" t="s">
        <v>69</v>
      </c>
      <c r="B1" s="122" t="s">
        <v>79</v>
      </c>
      <c r="C1" s="122" t="s">
        <v>70</v>
      </c>
      <c r="D1" s="123" t="s">
        <v>62</v>
      </c>
      <c r="E1" s="122" t="s">
        <v>71</v>
      </c>
      <c r="F1" s="123" t="s">
        <v>62</v>
      </c>
      <c r="H1" s="122" t="s">
        <v>72</v>
      </c>
      <c r="I1" s="122" t="s">
        <v>73</v>
      </c>
      <c r="J1" s="122" t="s">
        <v>74</v>
      </c>
      <c r="K1" s="124" t="s">
        <v>75</v>
      </c>
      <c r="M1" s="122" t="s">
        <v>81</v>
      </c>
      <c r="N1" s="122" t="s">
        <v>70</v>
      </c>
      <c r="O1" s="123" t="s">
        <v>62</v>
      </c>
      <c r="P1" s="122" t="s">
        <v>82</v>
      </c>
      <c r="Q1" s="123" t="s">
        <v>62</v>
      </c>
      <c r="R1" s="122" t="s">
        <v>72</v>
      </c>
      <c r="S1" s="122" t="s">
        <v>73</v>
      </c>
    </row>
    <row r="2" spans="1:19" x14ac:dyDescent="0.2">
      <c r="A2" s="125" t="s">
        <v>1</v>
      </c>
      <c r="B2" s="99">
        <v>3993947</v>
      </c>
      <c r="C2" s="130">
        <v>3752000</v>
      </c>
      <c r="D2" s="131">
        <v>33.369999999999997</v>
      </c>
      <c r="E2" s="130">
        <f>242000-53</f>
        <v>241947</v>
      </c>
      <c r="F2" s="90">
        <v>26.8</v>
      </c>
      <c r="G2" s="126"/>
      <c r="H2" s="21">
        <f>C2*D2</f>
        <v>125204239.99999999</v>
      </c>
      <c r="I2" s="21">
        <f>E2*F2</f>
        <v>6484179.6000000006</v>
      </c>
      <c r="J2" s="21">
        <f>H2+I2</f>
        <v>131688419.59999998</v>
      </c>
      <c r="K2" s="126">
        <f>J2/B2</f>
        <v>32.971999778665058</v>
      </c>
      <c r="M2" s="21">
        <v>4288791</v>
      </c>
      <c r="N2" s="21">
        <f>M2-P2</f>
        <v>4049952</v>
      </c>
      <c r="O2" s="131">
        <v>33.369999999999997</v>
      </c>
      <c r="P2" s="21">
        <v>238839</v>
      </c>
      <c r="Q2" s="90">
        <v>26.8</v>
      </c>
      <c r="R2" s="21">
        <f>N2*O2</f>
        <v>135146898.23999998</v>
      </c>
      <c r="S2" s="21">
        <f>P2*Q2</f>
        <v>6400885.2000000002</v>
      </c>
    </row>
    <row r="3" spans="1:19" x14ac:dyDescent="0.2">
      <c r="A3" s="127" t="s">
        <v>16</v>
      </c>
      <c r="B3" s="100">
        <v>6282994</v>
      </c>
      <c r="C3" s="39">
        <v>5201975</v>
      </c>
      <c r="D3" s="105">
        <v>33.46</v>
      </c>
      <c r="E3" s="39">
        <f>1031023+49996</f>
        <v>1081019</v>
      </c>
      <c r="F3" s="90">
        <v>29.5</v>
      </c>
      <c r="G3" s="126"/>
      <c r="H3" s="21">
        <f t="shared" ref="H3:H15" si="0">C3*D3</f>
        <v>174058083.5</v>
      </c>
      <c r="I3" s="21">
        <f t="shared" ref="I3:I15" si="1">E3*F3</f>
        <v>31890060.5</v>
      </c>
      <c r="J3" s="21">
        <f t="shared" ref="J3:J15" si="2">H3+I3</f>
        <v>205948144</v>
      </c>
      <c r="K3" s="126">
        <f t="shared" ref="K3:K16" si="3">J3/B3</f>
        <v>32.778663166000158</v>
      </c>
      <c r="M3" s="21">
        <v>6484377</v>
      </c>
      <c r="N3" s="21">
        <f t="shared" ref="N3:N15" si="4">M3-P3</f>
        <v>5402705</v>
      </c>
      <c r="O3" s="105">
        <v>33.46</v>
      </c>
      <c r="P3" s="21">
        <v>1081672</v>
      </c>
      <c r="Q3" s="90">
        <v>29.5</v>
      </c>
      <c r="R3" s="21">
        <f t="shared" ref="R3:R15" si="5">N3*O3</f>
        <v>180774509.30000001</v>
      </c>
      <c r="S3" s="21">
        <f t="shared" ref="S3:S15" si="6">P3*Q3</f>
        <v>31909324</v>
      </c>
    </row>
    <row r="4" spans="1:19" x14ac:dyDescent="0.2">
      <c r="A4" s="127" t="s">
        <v>4</v>
      </c>
      <c r="B4" s="100">
        <f>2658167+217238</f>
        <v>2875405</v>
      </c>
      <c r="C4" s="39">
        <v>2658167</v>
      </c>
      <c r="D4" s="132">
        <v>31.41</v>
      </c>
      <c r="E4" s="39">
        <v>217238</v>
      </c>
      <c r="F4" s="90">
        <v>27.12</v>
      </c>
      <c r="G4" s="126"/>
      <c r="H4" s="21">
        <f t="shared" si="0"/>
        <v>83493025.469999999</v>
      </c>
      <c r="I4" s="21">
        <f t="shared" si="1"/>
        <v>5891494.5600000005</v>
      </c>
      <c r="J4" s="21">
        <f t="shared" si="2"/>
        <v>89384520.030000001</v>
      </c>
      <c r="K4" s="126">
        <f t="shared" si="3"/>
        <v>31.08588878088478</v>
      </c>
      <c r="M4" s="21">
        <v>2877491</v>
      </c>
      <c r="N4" s="21">
        <f t="shared" si="4"/>
        <v>2658589</v>
      </c>
      <c r="O4" s="132">
        <v>31.41</v>
      </c>
      <c r="P4" s="21">
        <v>218902</v>
      </c>
      <c r="Q4" s="90">
        <v>27.12</v>
      </c>
      <c r="R4" s="21">
        <f t="shared" si="5"/>
        <v>83506280.489999995</v>
      </c>
      <c r="S4" s="21">
        <f t="shared" si="6"/>
        <v>5936622.2400000002</v>
      </c>
    </row>
    <row r="5" spans="1:19" x14ac:dyDescent="0.2">
      <c r="A5" s="127" t="s">
        <v>76</v>
      </c>
      <c r="B5" s="100">
        <v>660519</v>
      </c>
      <c r="C5" s="39">
        <v>574100</v>
      </c>
      <c r="D5" s="105">
        <v>32.950000000000003</v>
      </c>
      <c r="E5" s="39">
        <v>86419</v>
      </c>
      <c r="F5" s="90">
        <v>29.29</v>
      </c>
      <c r="G5" s="126"/>
      <c r="H5" s="21">
        <f t="shared" si="0"/>
        <v>18916595</v>
      </c>
      <c r="I5" s="21">
        <f t="shared" si="1"/>
        <v>2531212.5099999998</v>
      </c>
      <c r="J5" s="21">
        <f t="shared" si="2"/>
        <v>21447807.509999998</v>
      </c>
      <c r="K5" s="126">
        <f t="shared" si="3"/>
        <v>32.471143918645787</v>
      </c>
      <c r="M5" s="21">
        <v>667425</v>
      </c>
      <c r="N5" s="21">
        <f t="shared" si="4"/>
        <v>578098</v>
      </c>
      <c r="O5" s="105">
        <v>32.950000000000003</v>
      </c>
      <c r="P5" s="21">
        <v>89327</v>
      </c>
      <c r="Q5" s="90">
        <v>29.29</v>
      </c>
      <c r="R5" s="21">
        <f t="shared" si="5"/>
        <v>19048329.100000001</v>
      </c>
      <c r="S5" s="21">
        <f t="shared" si="6"/>
        <v>2616387.83</v>
      </c>
    </row>
    <row r="6" spans="1:19" x14ac:dyDescent="0.2">
      <c r="A6" s="127" t="s">
        <v>3</v>
      </c>
      <c r="B6" s="100">
        <v>1871861</v>
      </c>
      <c r="C6" s="39">
        <f>B6-E6</f>
        <v>1438861</v>
      </c>
      <c r="D6" s="105">
        <v>34.46</v>
      </c>
      <c r="E6" s="39">
        <v>433000</v>
      </c>
      <c r="F6" s="90">
        <v>26.76</v>
      </c>
      <c r="G6" s="126"/>
      <c r="H6" s="21">
        <f t="shared" si="0"/>
        <v>49583150.060000002</v>
      </c>
      <c r="I6" s="21">
        <f t="shared" si="1"/>
        <v>11587080</v>
      </c>
      <c r="J6" s="21">
        <f t="shared" si="2"/>
        <v>61170230.060000002</v>
      </c>
      <c r="K6" s="126">
        <f t="shared" si="3"/>
        <v>32.678831419640666</v>
      </c>
      <c r="M6" s="21">
        <v>1871575</v>
      </c>
      <c r="N6" s="21">
        <f t="shared" si="4"/>
        <v>1438234</v>
      </c>
      <c r="O6" s="105">
        <v>34.46</v>
      </c>
      <c r="P6" s="21">
        <v>433341</v>
      </c>
      <c r="Q6" s="90">
        <v>26.76</v>
      </c>
      <c r="R6" s="21">
        <f t="shared" si="5"/>
        <v>49561543.640000001</v>
      </c>
      <c r="S6" s="21">
        <f t="shared" si="6"/>
        <v>11596205.16</v>
      </c>
    </row>
    <row r="7" spans="1:19" x14ac:dyDescent="0.2">
      <c r="A7" s="127" t="s">
        <v>10</v>
      </c>
      <c r="B7" s="100">
        <v>6206</v>
      </c>
      <c r="C7" s="39">
        <f t="shared" ref="C7:C15" si="7">B7-E7</f>
        <v>6206</v>
      </c>
      <c r="D7" s="105">
        <v>35.31</v>
      </c>
      <c r="E7" s="134"/>
      <c r="F7" s="90"/>
      <c r="G7" s="126"/>
      <c r="H7" s="21">
        <f t="shared" si="0"/>
        <v>219133.86000000002</v>
      </c>
      <c r="I7" s="21">
        <f t="shared" si="1"/>
        <v>0</v>
      </c>
      <c r="J7" s="21">
        <f t="shared" si="2"/>
        <v>219133.86000000002</v>
      </c>
      <c r="K7" s="126">
        <f t="shared" si="3"/>
        <v>35.31</v>
      </c>
      <c r="M7" s="21">
        <v>6204</v>
      </c>
      <c r="N7" s="21">
        <f>M7</f>
        <v>6204</v>
      </c>
      <c r="O7" s="105">
        <v>35.31</v>
      </c>
      <c r="P7" s="21"/>
      <c r="Q7" s="90"/>
      <c r="R7" s="21">
        <f t="shared" si="5"/>
        <v>219063.24000000002</v>
      </c>
      <c r="S7" s="21">
        <f t="shared" si="6"/>
        <v>0</v>
      </c>
    </row>
    <row r="8" spans="1:19" x14ac:dyDescent="0.2">
      <c r="A8" s="127" t="s">
        <v>2</v>
      </c>
      <c r="B8" s="100">
        <f>2374437+206370</f>
        <v>2580807</v>
      </c>
      <c r="C8" s="39">
        <f t="shared" si="7"/>
        <v>2374437</v>
      </c>
      <c r="D8" s="105">
        <v>34.9</v>
      </c>
      <c r="E8" s="39">
        <v>206370</v>
      </c>
      <c r="F8" s="90">
        <v>29.9</v>
      </c>
      <c r="G8" s="126"/>
      <c r="H8" s="21">
        <f t="shared" si="0"/>
        <v>82867851.299999997</v>
      </c>
      <c r="I8" s="21">
        <f t="shared" si="1"/>
        <v>6170463</v>
      </c>
      <c r="J8" s="21">
        <f t="shared" si="2"/>
        <v>89038314.299999997</v>
      </c>
      <c r="K8" s="126">
        <f t="shared" si="3"/>
        <v>34.500183198511159</v>
      </c>
      <c r="M8" s="21">
        <v>2599188</v>
      </c>
      <c r="N8" s="21">
        <f t="shared" si="4"/>
        <v>2387729</v>
      </c>
      <c r="O8" s="105">
        <v>34.9</v>
      </c>
      <c r="P8" s="21">
        <v>211459</v>
      </c>
      <c r="Q8" s="90">
        <v>29.9</v>
      </c>
      <c r="R8" s="21">
        <f t="shared" si="5"/>
        <v>83331742.099999994</v>
      </c>
      <c r="S8" s="21">
        <f t="shared" si="6"/>
        <v>6322624.0999999996</v>
      </c>
    </row>
    <row r="9" spans="1:19" x14ac:dyDescent="0.2">
      <c r="A9" s="127" t="s">
        <v>12</v>
      </c>
      <c r="B9" s="100">
        <v>176547</v>
      </c>
      <c r="C9" s="39">
        <f t="shared" si="7"/>
        <v>176547</v>
      </c>
      <c r="D9" s="105">
        <v>41.19</v>
      </c>
      <c r="E9" s="134"/>
      <c r="F9" s="90"/>
      <c r="G9" s="126"/>
      <c r="H9" s="21">
        <f t="shared" si="0"/>
        <v>7271970.9299999997</v>
      </c>
      <c r="I9" s="21">
        <f t="shared" si="1"/>
        <v>0</v>
      </c>
      <c r="J9" s="21">
        <f t="shared" si="2"/>
        <v>7271970.9299999997</v>
      </c>
      <c r="K9" s="126">
        <f t="shared" si="3"/>
        <v>41.19</v>
      </c>
      <c r="M9" s="21">
        <v>176666</v>
      </c>
      <c r="N9" s="21">
        <f>M9</f>
        <v>176666</v>
      </c>
      <c r="O9" s="105">
        <v>41.19</v>
      </c>
      <c r="P9" s="21"/>
      <c r="Q9" s="90"/>
      <c r="R9" s="21">
        <f t="shared" si="5"/>
        <v>7276872.54</v>
      </c>
      <c r="S9" s="21">
        <f t="shared" si="6"/>
        <v>0</v>
      </c>
    </row>
    <row r="10" spans="1:19" x14ac:dyDescent="0.2">
      <c r="A10" s="127" t="s">
        <v>6</v>
      </c>
      <c r="B10" s="100">
        <v>441571</v>
      </c>
      <c r="C10" s="39">
        <f t="shared" si="7"/>
        <v>352161</v>
      </c>
      <c r="D10" s="107">
        <v>27.35</v>
      </c>
      <c r="E10" s="39">
        <v>89410</v>
      </c>
      <c r="F10" s="90">
        <v>23.5</v>
      </c>
      <c r="G10" s="126"/>
      <c r="H10" s="21">
        <f t="shared" si="0"/>
        <v>9631603.3499999996</v>
      </c>
      <c r="I10" s="21">
        <f t="shared" si="1"/>
        <v>2101135</v>
      </c>
      <c r="J10" s="21">
        <f t="shared" si="2"/>
        <v>11732738.35</v>
      </c>
      <c r="K10" s="126">
        <f t="shared" si="3"/>
        <v>26.570445862613258</v>
      </c>
      <c r="M10" s="21">
        <v>442207</v>
      </c>
      <c r="N10" s="21">
        <f t="shared" si="4"/>
        <v>348784</v>
      </c>
      <c r="O10" s="107">
        <v>27.35</v>
      </c>
      <c r="P10" s="21">
        <v>93423</v>
      </c>
      <c r="Q10" s="90">
        <v>23.5</v>
      </c>
      <c r="R10" s="21">
        <f t="shared" si="5"/>
        <v>9539242.4000000004</v>
      </c>
      <c r="S10" s="21">
        <f t="shared" si="6"/>
        <v>2195440.5</v>
      </c>
    </row>
    <row r="11" spans="1:19" x14ac:dyDescent="0.2">
      <c r="A11" s="127" t="s">
        <v>8</v>
      </c>
      <c r="B11" s="100">
        <v>39896</v>
      </c>
      <c r="C11" s="39">
        <f t="shared" si="7"/>
        <v>39896</v>
      </c>
      <c r="D11" s="105">
        <v>23.23</v>
      </c>
      <c r="E11" s="134"/>
      <c r="F11" s="52"/>
      <c r="G11" s="126"/>
      <c r="H11" s="21">
        <f t="shared" si="0"/>
        <v>926784.08000000007</v>
      </c>
      <c r="I11" s="21">
        <f t="shared" si="1"/>
        <v>0</v>
      </c>
      <c r="J11" s="21">
        <f t="shared" si="2"/>
        <v>926784.08000000007</v>
      </c>
      <c r="K11" s="126">
        <f t="shared" si="3"/>
        <v>23.23</v>
      </c>
      <c r="M11" s="21">
        <v>38436</v>
      </c>
      <c r="N11" s="21">
        <f t="shared" si="4"/>
        <v>38436</v>
      </c>
      <c r="O11" s="105">
        <v>23.23</v>
      </c>
      <c r="P11" s="21"/>
      <c r="Q11" s="52"/>
      <c r="R11" s="21">
        <f t="shared" si="5"/>
        <v>892868.28</v>
      </c>
      <c r="S11" s="21">
        <f t="shared" si="6"/>
        <v>0</v>
      </c>
    </row>
    <row r="12" spans="1:19" x14ac:dyDescent="0.2">
      <c r="A12" s="127" t="s">
        <v>11</v>
      </c>
      <c r="B12" s="100">
        <v>239523.76</v>
      </c>
      <c r="C12" s="39">
        <f t="shared" si="7"/>
        <v>239523.76</v>
      </c>
      <c r="D12" s="105">
        <v>61.21</v>
      </c>
      <c r="E12" s="41"/>
      <c r="F12" s="52"/>
      <c r="G12" s="126"/>
      <c r="H12" s="21">
        <f t="shared" si="0"/>
        <v>14661249.3496</v>
      </c>
      <c r="I12" s="21">
        <f t="shared" si="1"/>
        <v>0</v>
      </c>
      <c r="J12" s="21">
        <f t="shared" si="2"/>
        <v>14661249.3496</v>
      </c>
      <c r="K12" s="126">
        <f t="shared" si="3"/>
        <v>61.21</v>
      </c>
      <c r="M12" s="21">
        <v>239373.95</v>
      </c>
      <c r="N12" s="21">
        <f t="shared" si="4"/>
        <v>239373.95</v>
      </c>
      <c r="O12" s="105">
        <v>61.21</v>
      </c>
      <c r="P12" s="21"/>
      <c r="Q12" s="52"/>
      <c r="R12" s="21">
        <f t="shared" si="5"/>
        <v>14652079.479500001</v>
      </c>
      <c r="S12" s="21">
        <f t="shared" si="6"/>
        <v>0</v>
      </c>
    </row>
    <row r="13" spans="1:19" x14ac:dyDescent="0.2">
      <c r="A13" s="127" t="s">
        <v>5</v>
      </c>
      <c r="B13" s="100">
        <v>316485</v>
      </c>
      <c r="C13" s="39">
        <f t="shared" si="7"/>
        <v>316485</v>
      </c>
      <c r="D13" s="105">
        <v>29.58</v>
      </c>
      <c r="E13" s="41"/>
      <c r="F13" s="52"/>
      <c r="G13" s="126"/>
      <c r="H13" s="21">
        <f t="shared" si="0"/>
        <v>9361626.2999999989</v>
      </c>
      <c r="I13" s="21">
        <f t="shared" si="1"/>
        <v>0</v>
      </c>
      <c r="J13" s="21">
        <f t="shared" si="2"/>
        <v>9361626.2999999989</v>
      </c>
      <c r="K13" s="126">
        <f t="shared" si="3"/>
        <v>29.579999999999995</v>
      </c>
      <c r="M13" s="21">
        <v>316586</v>
      </c>
      <c r="N13" s="21">
        <f t="shared" si="4"/>
        <v>316586</v>
      </c>
      <c r="O13" s="105">
        <v>29.58</v>
      </c>
      <c r="P13" s="21"/>
      <c r="Q13" s="52"/>
      <c r="R13" s="21">
        <f t="shared" si="5"/>
        <v>9364613.879999999</v>
      </c>
      <c r="S13" s="21">
        <f t="shared" si="6"/>
        <v>0</v>
      </c>
    </row>
    <row r="14" spans="1:19" x14ac:dyDescent="0.2">
      <c r="A14" s="127" t="s">
        <v>67</v>
      </c>
      <c r="B14" s="100">
        <v>69208</v>
      </c>
      <c r="C14" s="39">
        <f t="shared" si="7"/>
        <v>69208</v>
      </c>
      <c r="D14" s="105">
        <v>30.5</v>
      </c>
      <c r="E14" s="41"/>
      <c r="F14" s="52"/>
      <c r="G14" s="126"/>
      <c r="H14" s="21">
        <f t="shared" si="0"/>
        <v>2110844</v>
      </c>
      <c r="I14" s="21">
        <f t="shared" si="1"/>
        <v>0</v>
      </c>
      <c r="J14" s="21">
        <f t="shared" si="2"/>
        <v>2110844</v>
      </c>
      <c r="K14" s="126">
        <f t="shared" si="3"/>
        <v>30.5</v>
      </c>
      <c r="M14" s="21">
        <v>69256</v>
      </c>
      <c r="N14" s="21">
        <f t="shared" si="4"/>
        <v>69256</v>
      </c>
      <c r="O14" s="105">
        <v>30.5</v>
      </c>
      <c r="P14" s="21"/>
      <c r="Q14" s="52"/>
      <c r="R14" s="21">
        <f t="shared" si="5"/>
        <v>2112308</v>
      </c>
      <c r="S14" s="21">
        <f t="shared" si="6"/>
        <v>0</v>
      </c>
    </row>
    <row r="15" spans="1:19" x14ac:dyDescent="0.2">
      <c r="A15" s="127" t="s">
        <v>24</v>
      </c>
      <c r="B15" s="100">
        <v>2352</v>
      </c>
      <c r="C15" s="39">
        <f t="shared" si="7"/>
        <v>2352</v>
      </c>
      <c r="D15" s="105">
        <v>26.74</v>
      </c>
      <c r="E15" s="41"/>
      <c r="F15" s="52"/>
      <c r="G15" s="126"/>
      <c r="H15" s="21">
        <f t="shared" si="0"/>
        <v>62892.479999999996</v>
      </c>
      <c r="I15" s="21">
        <f t="shared" si="1"/>
        <v>0</v>
      </c>
      <c r="J15" s="21">
        <f t="shared" si="2"/>
        <v>62892.479999999996</v>
      </c>
      <c r="K15" s="126">
        <f t="shared" si="3"/>
        <v>26.74</v>
      </c>
      <c r="M15" s="21">
        <v>2352</v>
      </c>
      <c r="N15" s="21">
        <f t="shared" si="4"/>
        <v>2352</v>
      </c>
      <c r="O15" s="105">
        <v>26.74</v>
      </c>
      <c r="P15" s="21"/>
      <c r="Q15" s="52"/>
      <c r="R15" s="21">
        <f t="shared" si="5"/>
        <v>62892.479999999996</v>
      </c>
      <c r="S15" s="21">
        <f t="shared" si="6"/>
        <v>0</v>
      </c>
    </row>
    <row r="16" spans="1:19" x14ac:dyDescent="0.2">
      <c r="A16" s="41" t="s">
        <v>40</v>
      </c>
      <c r="B16" s="128">
        <f>SUM(B2:B15)</f>
        <v>19557321.760000002</v>
      </c>
      <c r="C16" s="128">
        <f>SUM(C2:C15)</f>
        <v>17201918.760000002</v>
      </c>
      <c r="D16" s="90">
        <f>SUM(D2:D15)/14</f>
        <v>33.97571428571429</v>
      </c>
      <c r="E16" s="128">
        <f>SUM(E2:E15)</f>
        <v>2355403</v>
      </c>
      <c r="F16" s="90">
        <f>SUM(F2:F15)/7</f>
        <v>27.552857142857142</v>
      </c>
      <c r="G16" s="126"/>
      <c r="H16" s="21">
        <f>SUM(H2:H15)</f>
        <v>578369049.6796</v>
      </c>
      <c r="I16" s="21">
        <f>SUM(I2:I15)</f>
        <v>66655625.170000002</v>
      </c>
      <c r="J16" s="21">
        <f>SUM(J2:J15)</f>
        <v>645024674.84959996</v>
      </c>
      <c r="K16" s="126">
        <f t="shared" si="3"/>
        <v>32.981237552109484</v>
      </c>
      <c r="M16" s="21">
        <f>SUM(M2:M15)</f>
        <v>20079927.949999999</v>
      </c>
      <c r="N16" s="21">
        <f>SUM(N2:N15)</f>
        <v>17712964.949999999</v>
      </c>
      <c r="O16" s="106">
        <f>SUM(O2:O15)/14</f>
        <v>33.97571428571429</v>
      </c>
      <c r="P16" s="21">
        <f>SUM(P2:P15)</f>
        <v>2366963</v>
      </c>
      <c r="Q16" s="52">
        <f>SUM(Q2:Q15)/7</f>
        <v>27.552857142857142</v>
      </c>
      <c r="R16" s="21">
        <f>SUM(R2:R15)</f>
        <v>595489243.16949999</v>
      </c>
      <c r="S16" s="21">
        <f>SUM(S2:S15)</f>
        <v>66977489.030000009</v>
      </c>
    </row>
    <row r="17" spans="1:19" x14ac:dyDescent="0.2">
      <c r="F17" t="s">
        <v>77</v>
      </c>
    </row>
    <row r="18" spans="1:19" x14ac:dyDescent="0.2">
      <c r="P18" t="s">
        <v>78</v>
      </c>
      <c r="R18" s="129">
        <f>R16/N16</f>
        <v>33.618834839364375</v>
      </c>
      <c r="S18" s="129">
        <f>S16/P16</f>
        <v>28.296804398716841</v>
      </c>
    </row>
    <row r="19" spans="1:19" x14ac:dyDescent="0.2">
      <c r="C19" s="34">
        <f>C16*D16</f>
        <v>584447476.95582867</v>
      </c>
      <c r="E19" s="34"/>
      <c r="H19" s="34">
        <f>H16+I16</f>
        <v>645024674.84959996</v>
      </c>
    </row>
    <row r="20" spans="1:19" x14ac:dyDescent="0.2">
      <c r="C20" s="34">
        <f>E16*F16</f>
        <v>64898082.372857139</v>
      </c>
      <c r="H20" s="126">
        <f>H19/B16</f>
        <v>32.981237552109484</v>
      </c>
      <c r="M20" s="34">
        <f>N16+P16</f>
        <v>20079927.949999999</v>
      </c>
    </row>
    <row r="21" spans="1:19" x14ac:dyDescent="0.2">
      <c r="C21" s="102">
        <f>SUM(C19:C20)</f>
        <v>649345559.32868576</v>
      </c>
      <c r="D21" s="129">
        <f>C21/B16</f>
        <v>33.202171917873365</v>
      </c>
      <c r="H21" t="s">
        <v>78</v>
      </c>
      <c r="R21" s="126">
        <f>R18-S18</f>
        <v>5.3220304406475343</v>
      </c>
    </row>
    <row r="22" spans="1:19" x14ac:dyDescent="0.2">
      <c r="F22" s="126">
        <f>H20-D21</f>
        <v>-0.22093436576388115</v>
      </c>
    </row>
    <row r="23" spans="1:19" x14ac:dyDescent="0.2">
      <c r="A23" s="133" t="s">
        <v>80</v>
      </c>
    </row>
    <row r="25" spans="1:19" x14ac:dyDescent="0.2">
      <c r="A25" s="213" t="s">
        <v>123</v>
      </c>
    </row>
    <row r="26" spans="1:19" ht="38.25" x14ac:dyDescent="0.2">
      <c r="A26" s="104" t="s">
        <v>69</v>
      </c>
      <c r="B26" s="122" t="s">
        <v>120</v>
      </c>
      <c r="C26" s="122" t="s">
        <v>125</v>
      </c>
      <c r="D26" s="122" t="s">
        <v>121</v>
      </c>
      <c r="E26" s="123" t="s">
        <v>62</v>
      </c>
      <c r="F26" s="122" t="s">
        <v>122</v>
      </c>
      <c r="G26" s="123" t="s">
        <v>62</v>
      </c>
      <c r="H26" s="122" t="s">
        <v>72</v>
      </c>
      <c r="I26" s="122" t="s">
        <v>73</v>
      </c>
    </row>
    <row r="27" spans="1:19" x14ac:dyDescent="0.2">
      <c r="A27" s="125" t="s">
        <v>1</v>
      </c>
      <c r="B27" s="21">
        <v>4650392</v>
      </c>
      <c r="C27" s="21">
        <v>44529</v>
      </c>
      <c r="D27" s="21">
        <v>4412969</v>
      </c>
      <c r="E27" s="154">
        <v>36.520000000000003</v>
      </c>
      <c r="F27" s="21">
        <v>281952</v>
      </c>
      <c r="G27" s="209">
        <v>31.55</v>
      </c>
      <c r="H27" s="21">
        <f>D27*E27</f>
        <v>161161627.88000003</v>
      </c>
      <c r="I27" s="21">
        <f>G27*F27</f>
        <v>8895585.5999999996</v>
      </c>
      <c r="J27" s="34"/>
      <c r="K27" s="34">
        <f>B27+C27</f>
        <v>4694921</v>
      </c>
      <c r="M27" s="34">
        <f>D27+F27</f>
        <v>4694921</v>
      </c>
      <c r="O27" t="b">
        <f>K27=M27</f>
        <v>1</v>
      </c>
    </row>
    <row r="28" spans="1:19" x14ac:dyDescent="0.2">
      <c r="A28" s="127" t="s">
        <v>16</v>
      </c>
      <c r="B28" s="21">
        <f>5496483+1085898</f>
        <v>6582381</v>
      </c>
      <c r="C28" s="21">
        <v>107879</v>
      </c>
      <c r="D28" s="21">
        <v>5592309</v>
      </c>
      <c r="E28" s="154">
        <v>36.57</v>
      </c>
      <c r="F28" s="21">
        <f>1085898+12053</f>
        <v>1097951</v>
      </c>
      <c r="G28" s="209">
        <v>32.36</v>
      </c>
      <c r="H28" s="21">
        <f>D28*E28</f>
        <v>204510740.13</v>
      </c>
      <c r="I28" s="21">
        <f>F28*G28</f>
        <v>35529694.359999999</v>
      </c>
      <c r="K28" s="34">
        <f>B28+C28</f>
        <v>6690260</v>
      </c>
      <c r="M28" s="34">
        <f t="shared" ref="M28:M39" si="8">D28+F28</f>
        <v>6690260</v>
      </c>
      <c r="O28" t="b">
        <f t="shared" ref="O28:O39" si="9">K28=M28</f>
        <v>1</v>
      </c>
      <c r="Q28" s="34"/>
    </row>
    <row r="29" spans="1:19" x14ac:dyDescent="0.2">
      <c r="A29" s="127" t="s">
        <v>4</v>
      </c>
      <c r="B29" s="21">
        <v>2881605</v>
      </c>
      <c r="C29" s="21">
        <v>30632</v>
      </c>
      <c r="D29" s="21">
        <v>2692670</v>
      </c>
      <c r="E29" s="154">
        <v>35.51</v>
      </c>
      <c r="F29" s="21">
        <f>217928+1639</f>
        <v>219567</v>
      </c>
      <c r="G29" s="209">
        <v>30.3</v>
      </c>
      <c r="H29" s="21">
        <f t="shared" ref="H29:H31" si="10">D29*E29</f>
        <v>95616711.699999988</v>
      </c>
      <c r="I29" s="21">
        <f t="shared" ref="I29:I36" si="11">F29*G29</f>
        <v>6652880.1000000006</v>
      </c>
      <c r="K29" s="34">
        <f t="shared" ref="K29:K39" si="12">B29+C29</f>
        <v>2912237</v>
      </c>
      <c r="M29" s="34">
        <f t="shared" si="8"/>
        <v>2912237</v>
      </c>
      <c r="O29" t="b">
        <f t="shared" si="9"/>
        <v>1</v>
      </c>
      <c r="Q29" s="34"/>
    </row>
    <row r="30" spans="1:19" x14ac:dyDescent="0.2">
      <c r="A30" s="127" t="s">
        <v>76</v>
      </c>
      <c r="B30" s="21">
        <f>590766+81252</f>
        <v>672018</v>
      </c>
      <c r="C30" s="21">
        <v>2217</v>
      </c>
      <c r="D30" s="21">
        <v>591228</v>
      </c>
      <c r="E30" s="154">
        <v>35.43</v>
      </c>
      <c r="F30" s="21">
        <f>81252+1755</f>
        <v>83007</v>
      </c>
      <c r="G30" s="209">
        <v>34.96</v>
      </c>
      <c r="H30" s="21">
        <f t="shared" si="10"/>
        <v>20947208.039999999</v>
      </c>
      <c r="I30" s="21">
        <f t="shared" si="11"/>
        <v>2901924.72</v>
      </c>
      <c r="K30" s="34">
        <f t="shared" si="12"/>
        <v>674235</v>
      </c>
      <c r="M30" s="34">
        <f t="shared" si="8"/>
        <v>674235</v>
      </c>
      <c r="O30" t="b">
        <f t="shared" si="9"/>
        <v>1</v>
      </c>
      <c r="Q30" s="34"/>
    </row>
    <row r="31" spans="1:19" x14ac:dyDescent="0.2">
      <c r="A31" s="127" t="s">
        <v>3</v>
      </c>
      <c r="B31" s="21">
        <v>1861235</v>
      </c>
      <c r="C31" s="21">
        <v>9330</v>
      </c>
      <c r="D31" s="21">
        <v>1439605</v>
      </c>
      <c r="E31" s="154">
        <v>38.450000000000003</v>
      </c>
      <c r="F31" s="21">
        <f>430890+70</f>
        <v>430960</v>
      </c>
      <c r="G31" s="209">
        <v>30.7</v>
      </c>
      <c r="H31" s="21">
        <f t="shared" si="10"/>
        <v>55352812.250000007</v>
      </c>
      <c r="I31" s="21">
        <f t="shared" si="11"/>
        <v>13230472</v>
      </c>
      <c r="K31" s="34">
        <f t="shared" si="12"/>
        <v>1870565</v>
      </c>
      <c r="M31" s="34">
        <f t="shared" si="8"/>
        <v>1870565</v>
      </c>
      <c r="O31" t="b">
        <f t="shared" si="9"/>
        <v>1</v>
      </c>
      <c r="Q31" s="34"/>
    </row>
    <row r="32" spans="1:19" x14ac:dyDescent="0.2">
      <c r="A32" s="127" t="s">
        <v>10</v>
      </c>
      <c r="B32" s="21">
        <v>6164</v>
      </c>
      <c r="C32" s="21"/>
      <c r="D32" s="21">
        <f>B32</f>
        <v>6164</v>
      </c>
      <c r="E32" s="154">
        <v>37.29</v>
      </c>
      <c r="F32" s="21">
        <v>0</v>
      </c>
      <c r="G32" s="210"/>
      <c r="H32" s="21">
        <f>D32*E32</f>
        <v>229855.56</v>
      </c>
      <c r="I32" s="21">
        <f t="shared" si="11"/>
        <v>0</v>
      </c>
      <c r="K32" s="34">
        <f t="shared" si="12"/>
        <v>6164</v>
      </c>
      <c r="M32" s="34">
        <f t="shared" si="8"/>
        <v>6164</v>
      </c>
      <c r="O32" t="b">
        <f t="shared" si="9"/>
        <v>1</v>
      </c>
    </row>
    <row r="33" spans="1:18" x14ac:dyDescent="0.2">
      <c r="A33" s="127" t="s">
        <v>2</v>
      </c>
      <c r="B33" s="21">
        <v>2651271</v>
      </c>
      <c r="C33" s="21">
        <v>16077</v>
      </c>
      <c r="D33" s="21">
        <v>2322048</v>
      </c>
      <c r="E33" s="154">
        <v>38.450000000000003</v>
      </c>
      <c r="F33" s="21">
        <v>345300</v>
      </c>
      <c r="G33" s="209">
        <v>33.78</v>
      </c>
      <c r="H33" s="21">
        <f t="shared" ref="H33:H35" si="13">D33*E33</f>
        <v>89282745.600000009</v>
      </c>
      <c r="I33" s="21">
        <f t="shared" si="11"/>
        <v>11664234</v>
      </c>
      <c r="K33" s="34">
        <f t="shared" si="12"/>
        <v>2667348</v>
      </c>
      <c r="M33" s="34">
        <f t="shared" si="8"/>
        <v>2667348</v>
      </c>
      <c r="O33" t="b">
        <f t="shared" si="9"/>
        <v>1</v>
      </c>
      <c r="Q33" s="34"/>
    </row>
    <row r="34" spans="1:18" x14ac:dyDescent="0.2">
      <c r="A34" s="127" t="s">
        <v>12</v>
      </c>
      <c r="B34" s="21">
        <v>175367</v>
      </c>
      <c r="C34" s="21"/>
      <c r="D34" s="21">
        <f>B34</f>
        <v>175367</v>
      </c>
      <c r="E34" s="154">
        <v>40.049999999999997</v>
      </c>
      <c r="F34" s="21">
        <v>0</v>
      </c>
      <c r="G34" s="210"/>
      <c r="H34" s="21">
        <f t="shared" si="13"/>
        <v>7023448.3499999996</v>
      </c>
      <c r="I34" s="21">
        <f t="shared" si="11"/>
        <v>0</v>
      </c>
      <c r="K34" s="34">
        <f t="shared" si="12"/>
        <v>175367</v>
      </c>
      <c r="M34" s="34">
        <f t="shared" si="8"/>
        <v>175367</v>
      </c>
      <c r="O34" t="b">
        <f t="shared" si="9"/>
        <v>1</v>
      </c>
      <c r="R34" s="34"/>
    </row>
    <row r="35" spans="1:18" x14ac:dyDescent="0.2">
      <c r="A35" s="127" t="s">
        <v>6</v>
      </c>
      <c r="B35" s="21">
        <v>436842</v>
      </c>
      <c r="C35" s="21">
        <v>-609</v>
      </c>
      <c r="D35" s="21">
        <f>B35+C35-F35</f>
        <v>342108</v>
      </c>
      <c r="E35" s="154">
        <v>31.05</v>
      </c>
      <c r="F35" s="21">
        <f>94415-290</f>
        <v>94125</v>
      </c>
      <c r="G35" s="209">
        <v>27.2</v>
      </c>
      <c r="H35" s="21">
        <f t="shared" si="13"/>
        <v>10622453.4</v>
      </c>
      <c r="I35" s="21">
        <f t="shared" si="11"/>
        <v>2560200</v>
      </c>
      <c r="K35" s="34">
        <v>436842</v>
      </c>
      <c r="M35" s="34">
        <f>D35+F35</f>
        <v>436233</v>
      </c>
      <c r="O35" t="b">
        <f t="shared" si="9"/>
        <v>0</v>
      </c>
      <c r="Q35" s="98" t="s">
        <v>126</v>
      </c>
      <c r="R35" s="98"/>
    </row>
    <row r="36" spans="1:18" x14ac:dyDescent="0.2">
      <c r="A36" s="127" t="s">
        <v>8</v>
      </c>
      <c r="B36" s="21">
        <v>38908</v>
      </c>
      <c r="C36" s="21"/>
      <c r="D36" s="21">
        <f>B36</f>
        <v>38908</v>
      </c>
      <c r="E36" s="154">
        <v>23.37</v>
      </c>
      <c r="F36" s="21">
        <v>0</v>
      </c>
      <c r="G36" s="210"/>
      <c r="H36" s="21">
        <f>B36*E36</f>
        <v>909279.96000000008</v>
      </c>
      <c r="I36" s="21">
        <f t="shared" si="11"/>
        <v>0</v>
      </c>
      <c r="K36" s="34">
        <f t="shared" si="12"/>
        <v>38908</v>
      </c>
      <c r="M36" s="34">
        <f t="shared" si="8"/>
        <v>38908</v>
      </c>
      <c r="O36" t="b">
        <f t="shared" si="9"/>
        <v>1</v>
      </c>
    </row>
    <row r="37" spans="1:18" x14ac:dyDescent="0.2">
      <c r="A37" s="127" t="s">
        <v>11</v>
      </c>
      <c r="B37" s="21">
        <v>330142.21999999997</v>
      </c>
      <c r="C37" s="21"/>
      <c r="D37" s="21">
        <f>B37</f>
        <v>330142.21999999997</v>
      </c>
      <c r="E37" s="154">
        <v>61.52</v>
      </c>
      <c r="F37" s="21">
        <v>0</v>
      </c>
      <c r="G37" s="210"/>
      <c r="H37" s="21">
        <f>B37*E37</f>
        <v>20310349.374400001</v>
      </c>
      <c r="I37" s="21">
        <v>0</v>
      </c>
      <c r="K37" s="34">
        <f t="shared" si="12"/>
        <v>330142.21999999997</v>
      </c>
      <c r="M37" s="34">
        <f t="shared" si="8"/>
        <v>330142.21999999997</v>
      </c>
      <c r="O37" t="b">
        <f t="shared" si="9"/>
        <v>1</v>
      </c>
    </row>
    <row r="38" spans="1:18" x14ac:dyDescent="0.2">
      <c r="A38" s="127" t="s">
        <v>5</v>
      </c>
      <c r="B38" s="21">
        <v>313929</v>
      </c>
      <c r="C38" s="21">
        <v>2082</v>
      </c>
      <c r="D38" s="21">
        <f>B38+C38</f>
        <v>316011</v>
      </c>
      <c r="E38" s="154">
        <v>33.410000000000004</v>
      </c>
      <c r="F38" s="21">
        <v>0</v>
      </c>
      <c r="G38" s="210"/>
      <c r="H38" s="21">
        <f>(B38+C38)*E38</f>
        <v>10557927.510000002</v>
      </c>
      <c r="I38" s="21">
        <v>0</v>
      </c>
      <c r="K38" s="34">
        <f t="shared" si="12"/>
        <v>316011</v>
      </c>
      <c r="M38" s="34">
        <f t="shared" si="8"/>
        <v>316011</v>
      </c>
      <c r="O38" t="b">
        <f t="shared" si="9"/>
        <v>1</v>
      </c>
    </row>
    <row r="39" spans="1:18" x14ac:dyDescent="0.2">
      <c r="A39" s="127" t="s">
        <v>67</v>
      </c>
      <c r="B39" s="21">
        <v>84636</v>
      </c>
      <c r="C39" s="21"/>
      <c r="D39" s="21">
        <f>B39</f>
        <v>84636</v>
      </c>
      <c r="E39" s="154">
        <v>34.5</v>
      </c>
      <c r="F39" s="21">
        <v>0</v>
      </c>
      <c r="G39" s="210"/>
      <c r="H39" s="21">
        <f>B39*E39</f>
        <v>2919942</v>
      </c>
      <c r="I39" s="21">
        <v>0</v>
      </c>
      <c r="K39" s="34">
        <f t="shared" si="12"/>
        <v>84636</v>
      </c>
      <c r="M39" s="34">
        <f t="shared" si="8"/>
        <v>84636</v>
      </c>
      <c r="O39" t="b">
        <f t="shared" si="9"/>
        <v>1</v>
      </c>
    </row>
    <row r="40" spans="1:18" x14ac:dyDescent="0.2">
      <c r="A40" s="211" t="s">
        <v>40</v>
      </c>
      <c r="B40" s="128">
        <f>SUM(B27:B39)</f>
        <v>20684890.219999999</v>
      </c>
      <c r="C40" s="128">
        <f>SUM(C27:C39)</f>
        <v>212137</v>
      </c>
      <c r="D40" s="128">
        <f>SUM(D27:D39)</f>
        <v>18344165.219999999</v>
      </c>
      <c r="E40" s="211"/>
      <c r="F40" s="128">
        <f>SUM(F27:F39)</f>
        <v>2552862</v>
      </c>
      <c r="G40" s="212"/>
      <c r="H40" s="128">
        <f>SUM(H27:H39)</f>
        <v>679445101.75440001</v>
      </c>
      <c r="I40" s="128">
        <f>SUM(I27:I39)</f>
        <v>81434990.780000001</v>
      </c>
    </row>
    <row r="42" spans="1:18" x14ac:dyDescent="0.2">
      <c r="H42" s="129">
        <f>H40/D40</f>
        <v>37.03875829757709</v>
      </c>
      <c r="I42" s="129">
        <f>I40/F40</f>
        <v>31.899488017762025</v>
      </c>
    </row>
    <row r="44" spans="1:18" x14ac:dyDescent="0.2">
      <c r="H44" s="126">
        <f>H42-I42</f>
        <v>5.1392702798150651</v>
      </c>
    </row>
    <row r="50" spans="8:8" x14ac:dyDescent="0.2">
      <c r="H50" s="3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600A-A880-4F79-93F8-39D5E4B6633E}">
  <sheetPr>
    <pageSetUpPr fitToPage="1"/>
  </sheetPr>
  <dimension ref="A1:E16"/>
  <sheetViews>
    <sheetView tabSelected="1" zoomScaleNormal="100" workbookViewId="0">
      <selection activeCell="E7" sqref="E7"/>
    </sheetView>
  </sheetViews>
  <sheetFormatPr defaultRowHeight="12.75" x14ac:dyDescent="0.2"/>
  <cols>
    <col min="1" max="1" width="41.42578125" customWidth="1"/>
    <col min="2" max="5" width="40.7109375" customWidth="1"/>
  </cols>
  <sheetData>
    <row r="1" spans="1:5" x14ac:dyDescent="0.2">
      <c r="A1" s="245" t="s">
        <v>135</v>
      </c>
      <c r="B1" s="245"/>
      <c r="C1" s="245"/>
      <c r="D1" s="245"/>
    </row>
    <row r="2" spans="1:5" x14ac:dyDescent="0.2">
      <c r="A2" s="1"/>
      <c r="B2" s="1"/>
      <c r="C2" s="1"/>
      <c r="D2" s="1"/>
      <c r="E2" s="1"/>
    </row>
    <row r="3" spans="1:5" ht="18.75" x14ac:dyDescent="0.3">
      <c r="A3" s="253" t="s">
        <v>131</v>
      </c>
      <c r="B3" s="253"/>
      <c r="C3" s="253"/>
      <c r="D3" s="253"/>
      <c r="E3" s="232"/>
    </row>
    <row r="4" spans="1:5" ht="15" x14ac:dyDescent="0.2">
      <c r="A4" s="250"/>
      <c r="B4" s="250"/>
      <c r="C4" s="250"/>
    </row>
    <row r="5" spans="1:5" ht="15" x14ac:dyDescent="0.2">
      <c r="A5" s="217"/>
      <c r="B5" s="217"/>
      <c r="C5" s="217"/>
    </row>
    <row r="6" spans="1:5" ht="36" customHeight="1" x14ac:dyDescent="0.2">
      <c r="A6" s="248" t="s">
        <v>132</v>
      </c>
      <c r="B6" s="248"/>
      <c r="C6" s="248"/>
      <c r="D6" s="248"/>
      <c r="E6" s="227"/>
    </row>
    <row r="7" spans="1:5" ht="14.25" x14ac:dyDescent="0.2">
      <c r="A7" s="218"/>
      <c r="B7" s="219"/>
      <c r="C7" s="220"/>
      <c r="D7" s="226"/>
      <c r="E7" s="218"/>
    </row>
    <row r="8" spans="1:5" ht="14.25" x14ac:dyDescent="0.2">
      <c r="A8" s="249" t="s">
        <v>0</v>
      </c>
      <c r="B8" s="251" t="s">
        <v>133</v>
      </c>
      <c r="C8" s="249" t="s">
        <v>129</v>
      </c>
      <c r="D8" s="249" t="s">
        <v>134</v>
      </c>
      <c r="E8" s="221"/>
    </row>
    <row r="9" spans="1:5" ht="57.6" customHeight="1" x14ac:dyDescent="0.2">
      <c r="A9" s="249"/>
      <c r="B9" s="251"/>
      <c r="C9" s="252"/>
      <c r="D9" s="249"/>
      <c r="E9" s="221"/>
    </row>
    <row r="10" spans="1:5" x14ac:dyDescent="0.2">
      <c r="A10" s="228" t="s">
        <v>128</v>
      </c>
      <c r="B10" s="234">
        <v>14582731</v>
      </c>
      <c r="C10" s="235">
        <v>142644</v>
      </c>
      <c r="D10" s="231">
        <f>B10+C10</f>
        <v>14725375</v>
      </c>
      <c r="E10" s="109"/>
    </row>
    <row r="11" spans="1:5" ht="14.25" x14ac:dyDescent="0.2">
      <c r="A11" s="229" t="s">
        <v>40</v>
      </c>
      <c r="B11" s="231">
        <f>SUM(B10:B10)</f>
        <v>14582731</v>
      </c>
      <c r="C11" s="231">
        <f>SUM(C10:C10)</f>
        <v>142644</v>
      </c>
      <c r="D11" s="231">
        <f>SUM(D10:D10)</f>
        <v>14725375</v>
      </c>
      <c r="E11" s="221"/>
    </row>
    <row r="12" spans="1:5" ht="14.25" x14ac:dyDescent="0.2">
      <c r="A12" s="230"/>
      <c r="B12" s="222"/>
      <c r="C12" s="223"/>
      <c r="D12" s="224"/>
      <c r="E12" s="221"/>
    </row>
    <row r="13" spans="1:5" ht="14.25" x14ac:dyDescent="0.2">
      <c r="A13" s="218"/>
      <c r="B13" s="222"/>
      <c r="C13" s="225"/>
      <c r="D13" s="225"/>
      <c r="E13" s="221"/>
    </row>
    <row r="14" spans="1:5" ht="14.25" x14ac:dyDescent="0.2">
      <c r="A14" s="218"/>
      <c r="B14" s="222"/>
      <c r="C14" s="225"/>
      <c r="D14" s="225"/>
      <c r="E14" s="221"/>
    </row>
    <row r="16" spans="1:5" ht="15.75" x14ac:dyDescent="0.25">
      <c r="A16" s="246" t="s">
        <v>130</v>
      </c>
      <c r="B16" s="247"/>
      <c r="C16" s="247"/>
      <c r="D16" s="233">
        <f>D11</f>
        <v>14725375</v>
      </c>
    </row>
  </sheetData>
  <mergeCells count="9">
    <mergeCell ref="A1:D1"/>
    <mergeCell ref="A16:C16"/>
    <mergeCell ref="A6:D6"/>
    <mergeCell ref="A8:A9"/>
    <mergeCell ref="A4:C4"/>
    <mergeCell ref="B8:B9"/>
    <mergeCell ref="C8:C9"/>
    <mergeCell ref="D8:D9"/>
    <mergeCell ref="A3:D3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tabulka</vt:lpstr>
      <vt:lpstr>CDV</vt:lpstr>
      <vt:lpstr>ČSAD AUTOBUSY</vt:lpstr>
      <vt:lpstr>průměr.CDV</vt:lpstr>
      <vt:lpstr>DPMČB 2022</vt:lpstr>
      <vt:lpstr>tabulka!Oblast_tisku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sedivy</dc:creator>
  <cp:lastModifiedBy>Šedivý Petr</cp:lastModifiedBy>
  <cp:lastPrinted>2023-04-14T13:39:38Z</cp:lastPrinted>
  <dcterms:created xsi:type="dcterms:W3CDTF">2003-07-16T06:59:06Z</dcterms:created>
  <dcterms:modified xsi:type="dcterms:W3CDTF">2024-04-04T10:55:54Z</dcterms:modified>
</cp:coreProperties>
</file>