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915" tabRatio="254" activeTab="0"/>
  </bookViews>
  <sheets>
    <sheet name="bilance a výdaje dle oblastí" sheetId="1" r:id="rId1"/>
  </sheets>
  <definedNames>
    <definedName name="_xlnm.Print_Area" localSheetId="0">'bilance a výdaje dle oblastí'!$A$1:$N$47</definedName>
  </definedNames>
  <calcPr fullCalcOnLoad="1"/>
</workbook>
</file>

<file path=xl/sharedStrings.xml><?xml version="1.0" encoding="utf-8"?>
<sst xmlns="http://schemas.openxmlformats.org/spreadsheetml/2006/main" count="62" uniqueCount="51">
  <si>
    <t>Tab. č. 1 - Bilance příjmů, výdajů a financování</t>
  </si>
  <si>
    <t>v tis. Kč</t>
  </si>
  <si>
    <t>číslo řádku</t>
  </si>
  <si>
    <t>Třída</t>
  </si>
  <si>
    <t xml:space="preserve">skutečnost </t>
  </si>
  <si>
    <t>skutečnost</t>
  </si>
  <si>
    <t xml:space="preserve">schválený rozpočet </t>
  </si>
  <si>
    <t>SRV</t>
  </si>
  <si>
    <t>Daňové příjmy</t>
  </si>
  <si>
    <t>Nedaňové příjmy</t>
  </si>
  <si>
    <t>Kapitálové příjmy</t>
  </si>
  <si>
    <t>Přijaté transfery</t>
  </si>
  <si>
    <t>Příjmy celkem po konsolidaci</t>
  </si>
  <si>
    <t>Běžné výdaje</t>
  </si>
  <si>
    <t>Kapitálové výdaje</t>
  </si>
  <si>
    <t>Výdaje celkem po konsolidaci</t>
  </si>
  <si>
    <t>Saldo příjmů a výdajů po konsolidaci</t>
  </si>
  <si>
    <t>Změna stavu na účtech</t>
  </si>
  <si>
    <t>Aktivní krátkodobé operace řízení likvidity</t>
  </si>
  <si>
    <t>Aktivní dlouhodobé operace řízení likvidity</t>
  </si>
  <si>
    <t>Dl. přijaté půjčené prostředky (tuzemsko)</t>
  </si>
  <si>
    <t>Uhrazené splátky dl. přijatých půjček (tuzemsko)</t>
  </si>
  <si>
    <t>Dl. přijaté půjčené prostředky (zahraničí)</t>
  </si>
  <si>
    <t>Uhrazené splátky dl. přijatých půjček (zahraničí)</t>
  </si>
  <si>
    <t>Nerealizované kurzové rozdíly</t>
  </si>
  <si>
    <t>Financování</t>
  </si>
  <si>
    <t>Tab. č. 2 - Výdaje celkem podle oblastí</t>
  </si>
  <si>
    <t>Oblast</t>
  </si>
  <si>
    <t>Zemědělství</t>
  </si>
  <si>
    <t>Průmysl, stavebnictví, obchod a služby</t>
  </si>
  <si>
    <t>Doprava</t>
  </si>
  <si>
    <t>Vodní hospodářství</t>
  </si>
  <si>
    <t>Podpora podnikání</t>
  </si>
  <si>
    <t>Vzdělávání</t>
  </si>
  <si>
    <t>Školské služby</t>
  </si>
  <si>
    <t>Tělovýchovná a zájmová činnost</t>
  </si>
  <si>
    <t>Zdravotnictví</t>
  </si>
  <si>
    <t>Bydlení, komunální služby a územní rozvoj</t>
  </si>
  <si>
    <t>Ochrana životního prostředí</t>
  </si>
  <si>
    <t>Sociální služby</t>
  </si>
  <si>
    <t>Civilní připravenost a krizové stavy</t>
  </si>
  <si>
    <t>Požární ochrana a integrovaný záchranný systém</t>
  </si>
  <si>
    <t>Státní správa, územní samospráva</t>
  </si>
  <si>
    <t xml:space="preserve">Mezinárodní spolupráce </t>
  </si>
  <si>
    <t>Finanční operace</t>
  </si>
  <si>
    <t>Ostatní činnosti</t>
  </si>
  <si>
    <t>Přehled vývoje bilance a výdajů podle oblastí</t>
  </si>
  <si>
    <t>Kultura a církve</t>
  </si>
  <si>
    <t>(v tis. Kč)</t>
  </si>
  <si>
    <t>skutečnost            k 30. 09.</t>
  </si>
  <si>
    <t>upravený rozpočet             k 30. 09.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</si>
</sst>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#,##0.00000"/>
    <numFmt numFmtId="170" formatCode="#,##0.000"/>
    <numFmt numFmtId="171" formatCode="#,##0.000000"/>
    <numFmt numFmtId="172" formatCode="0.000"/>
    <numFmt numFmtId="173" formatCode="#,##0.0000"/>
    <numFmt numFmtId="174" formatCode="0.0000"/>
    <numFmt numFmtId="175" formatCode="####\ ###"/>
    <numFmt numFmtId="176" formatCode="0.0%"/>
    <numFmt numFmtId="177" formatCode="000000"/>
    <numFmt numFmtId="178" formatCode="000"/>
    <numFmt numFmtId="179" formatCode="00"/>
    <numFmt numFmtId="180" formatCode="0000"/>
    <numFmt numFmtId="181" formatCode="0000000000000"/>
    <numFmt numFmtId="182" formatCode="\+#,##0.0;\-#,##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0" fillId="23" borderId="6" applyNumberFormat="0" applyFont="0" applyAlignment="0" applyProtection="0"/>
    <xf numFmtId="0" fontId="25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33" xfId="0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3" xfId="0" applyNumberFormat="1" applyFont="1" applyFill="1" applyBorder="1" applyAlignment="1">
      <alignment/>
    </xf>
    <xf numFmtId="4" fontId="4" fillId="0" borderId="36" xfId="0" applyNumberFormat="1" applyFont="1" applyFill="1" applyBorder="1" applyAlignment="1">
      <alignment/>
    </xf>
    <xf numFmtId="4" fontId="5" fillId="0" borderId="37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4" fontId="4" fillId="0" borderId="38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90" zoomScaleNormal="90" zoomScalePageLayoutView="0" workbookViewId="0" topLeftCell="A7">
      <selection activeCell="I16" sqref="I16"/>
    </sheetView>
  </sheetViews>
  <sheetFormatPr defaultColWidth="9.00390625" defaultRowHeight="12.75"/>
  <cols>
    <col min="1" max="1" width="6.75390625" style="2" customWidth="1"/>
    <col min="2" max="2" width="44.125" style="2" customWidth="1"/>
    <col min="3" max="3" width="15.00390625" style="2" hidden="1" customWidth="1"/>
    <col min="4" max="14" width="14.375" style="2" customWidth="1"/>
    <col min="15" max="16384" width="9.125" style="2" customWidth="1"/>
  </cols>
  <sheetData>
    <row r="1" spans="1:13" s="48" customFormat="1" ht="24" customHeight="1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19.5" thickBot="1">
      <c r="A2" s="1" t="s">
        <v>0</v>
      </c>
      <c r="N2" s="61" t="s">
        <v>48</v>
      </c>
    </row>
    <row r="3" spans="1:14" ht="15.75" customHeight="1">
      <c r="A3" s="69" t="s">
        <v>2</v>
      </c>
      <c r="B3" s="67" t="s">
        <v>3</v>
      </c>
      <c r="C3" s="4">
        <v>2008</v>
      </c>
      <c r="D3" s="4">
        <v>2009</v>
      </c>
      <c r="E3" s="4">
        <v>2010</v>
      </c>
      <c r="F3" s="66">
        <v>2011</v>
      </c>
      <c r="G3" s="66"/>
      <c r="H3" s="66"/>
      <c r="I3" s="4">
        <v>2012</v>
      </c>
      <c r="J3" s="4">
        <v>2013</v>
      </c>
      <c r="K3" s="4">
        <v>2014</v>
      </c>
      <c r="L3" s="4">
        <v>2015</v>
      </c>
      <c r="M3" s="4">
        <v>2016</v>
      </c>
      <c r="N3" s="49">
        <v>2017</v>
      </c>
    </row>
    <row r="4" spans="1:14" ht="48" thickBot="1">
      <c r="A4" s="70"/>
      <c r="B4" s="68"/>
      <c r="C4" s="5" t="s">
        <v>4</v>
      </c>
      <c r="D4" s="5" t="s">
        <v>5</v>
      </c>
      <c r="E4" s="5" t="s">
        <v>5</v>
      </c>
      <c r="F4" s="6" t="s">
        <v>6</v>
      </c>
      <c r="G4" s="6" t="s">
        <v>50</v>
      </c>
      <c r="H4" s="6" t="s">
        <v>49</v>
      </c>
      <c r="I4" s="62" t="s">
        <v>7</v>
      </c>
      <c r="J4" s="63"/>
      <c r="K4" s="63"/>
      <c r="L4" s="63"/>
      <c r="M4" s="63"/>
      <c r="N4" s="64"/>
    </row>
    <row r="5" spans="1:14" ht="15.75">
      <c r="A5" s="7">
        <v>1</v>
      </c>
      <c r="B5" s="8" t="s">
        <v>8</v>
      </c>
      <c r="C5" s="9">
        <v>4399746.81629</v>
      </c>
      <c r="D5" s="9">
        <v>3885364.67187</v>
      </c>
      <c r="E5" s="9">
        <v>3990755.21856</v>
      </c>
      <c r="F5" s="10">
        <v>4183076</v>
      </c>
      <c r="G5" s="10">
        <v>4173925.4</v>
      </c>
      <c r="H5" s="10">
        <v>3155560.724</v>
      </c>
      <c r="I5" s="9">
        <v>4152076</v>
      </c>
      <c r="J5" s="9">
        <v>4202092</v>
      </c>
      <c r="K5" s="9">
        <v>4402108</v>
      </c>
      <c r="L5" s="9">
        <v>4602125</v>
      </c>
      <c r="M5" s="9">
        <v>4652125</v>
      </c>
      <c r="N5" s="50">
        <v>4702125</v>
      </c>
    </row>
    <row r="6" spans="1:14" ht="15.75">
      <c r="A6" s="11">
        <v>2</v>
      </c>
      <c r="B6" s="12" t="s">
        <v>9</v>
      </c>
      <c r="C6" s="13">
        <v>187450.045364</v>
      </c>
      <c r="D6" s="13">
        <v>339356.29827</v>
      </c>
      <c r="E6" s="13">
        <v>280784.34118</v>
      </c>
      <c r="F6" s="14">
        <v>126619</v>
      </c>
      <c r="G6" s="14">
        <v>263746.67581</v>
      </c>
      <c r="H6" s="14">
        <v>239944.65844</v>
      </c>
      <c r="I6" s="13">
        <v>38853.05</v>
      </c>
      <c r="J6" s="13">
        <v>38158</v>
      </c>
      <c r="K6" s="13">
        <v>38337</v>
      </c>
      <c r="L6" s="13">
        <v>38437</v>
      </c>
      <c r="M6" s="13">
        <v>38437</v>
      </c>
      <c r="N6" s="51">
        <v>38437</v>
      </c>
    </row>
    <row r="7" spans="1:14" ht="15.75">
      <c r="A7" s="11">
        <v>3</v>
      </c>
      <c r="B7" s="12" t="s">
        <v>10</v>
      </c>
      <c r="C7" s="13">
        <v>32470.953</v>
      </c>
      <c r="D7" s="13">
        <v>9566.05</v>
      </c>
      <c r="E7" s="13">
        <v>4109.65</v>
      </c>
      <c r="F7" s="14">
        <v>8800</v>
      </c>
      <c r="G7" s="14">
        <v>8809.6</v>
      </c>
      <c r="H7" s="14">
        <v>2239.69</v>
      </c>
      <c r="I7" s="13">
        <v>8800</v>
      </c>
      <c r="J7" s="13">
        <v>8932</v>
      </c>
      <c r="K7" s="13">
        <v>9144</v>
      </c>
      <c r="L7" s="13">
        <v>9386</v>
      </c>
      <c r="M7" s="13">
        <v>9386</v>
      </c>
      <c r="N7" s="51">
        <v>9386</v>
      </c>
    </row>
    <row r="8" spans="1:14" ht="16.5" thickBot="1">
      <c r="A8" s="15">
        <v>4</v>
      </c>
      <c r="B8" s="16" t="s">
        <v>11</v>
      </c>
      <c r="C8" s="17">
        <f>10254544.29109-4775432.74686</f>
        <v>5479111.54423</v>
      </c>
      <c r="D8" s="17">
        <f>11452902.25442-5257609.04122</f>
        <v>6195293.213199999</v>
      </c>
      <c r="E8" s="17">
        <f>11032284.79612-5085818.298</f>
        <v>5946466.498119999</v>
      </c>
      <c r="F8" s="18">
        <v>7218217.27</v>
      </c>
      <c r="G8" s="18">
        <f>6642806.10889-247816.99734</f>
        <v>6394989.11155</v>
      </c>
      <c r="H8" s="18">
        <f>9569270.85035-3970509.12189</f>
        <v>5598761.72846</v>
      </c>
      <c r="I8" s="17">
        <v>7047107.12</v>
      </c>
      <c r="J8" s="17">
        <v>6886121.65</v>
      </c>
      <c r="K8" s="17">
        <v>6448534.28</v>
      </c>
      <c r="L8" s="17">
        <v>6066038.31</v>
      </c>
      <c r="M8" s="17">
        <v>5775598</v>
      </c>
      <c r="N8" s="52">
        <v>5775598</v>
      </c>
    </row>
    <row r="9" spans="1:14" ht="16.5" thickBot="1">
      <c r="A9" s="19">
        <v>5</v>
      </c>
      <c r="B9" s="20" t="s">
        <v>12</v>
      </c>
      <c r="C9" s="21">
        <f aca="true" t="shared" si="0" ref="C9:N9">SUM(C5:C8)</f>
        <v>10098779.358884</v>
      </c>
      <c r="D9" s="21">
        <f t="shared" si="0"/>
        <v>10429580.233339999</v>
      </c>
      <c r="E9" s="21">
        <f>SUM(E5:E8)</f>
        <v>10222115.707859999</v>
      </c>
      <c r="F9" s="21">
        <f t="shared" si="0"/>
        <v>11536712.27</v>
      </c>
      <c r="G9" s="21">
        <f t="shared" si="0"/>
        <v>10841470.78736</v>
      </c>
      <c r="H9" s="21">
        <f t="shared" si="0"/>
        <v>8996506.8009</v>
      </c>
      <c r="I9" s="21">
        <f>SUM(I5:I8)</f>
        <v>11246836.17</v>
      </c>
      <c r="J9" s="21">
        <f t="shared" si="0"/>
        <v>11135303.65</v>
      </c>
      <c r="K9" s="21">
        <f t="shared" si="0"/>
        <v>10898123.280000001</v>
      </c>
      <c r="L9" s="21">
        <f t="shared" si="0"/>
        <v>10715986.309999999</v>
      </c>
      <c r="M9" s="21">
        <f t="shared" si="0"/>
        <v>10475546</v>
      </c>
      <c r="N9" s="22">
        <f t="shared" si="0"/>
        <v>10525546</v>
      </c>
    </row>
    <row r="10" spans="1:14" ht="15.75">
      <c r="A10" s="7">
        <v>6</v>
      </c>
      <c r="B10" s="8" t="s">
        <v>13</v>
      </c>
      <c r="C10" s="23">
        <f>13622752.76262-4775432.74686</f>
        <v>8847320.01576</v>
      </c>
      <c r="D10" s="23">
        <f>14432127.89943-5257609.04122</f>
        <v>9174518.85821</v>
      </c>
      <c r="E10" s="23">
        <f>13972637.70617-5085818.298</f>
        <v>8886819.40817</v>
      </c>
      <c r="F10" s="23">
        <v>9161333.56</v>
      </c>
      <c r="G10" s="23">
        <f>9532432.27134-247816.99734</f>
        <v>9284615.274</v>
      </c>
      <c r="H10" s="23">
        <f>10525706.84404-3970509.12189</f>
        <v>6555197.722150001</v>
      </c>
      <c r="I10" s="23">
        <f>9483742.12+7000</f>
        <v>9490742.12</v>
      </c>
      <c r="J10" s="23">
        <v>9346211.89</v>
      </c>
      <c r="K10" s="23">
        <v>9340635.21</v>
      </c>
      <c r="L10" s="23">
        <v>9462394.44</v>
      </c>
      <c r="M10" s="23">
        <v>9388614.43</v>
      </c>
      <c r="N10" s="53">
        <v>9435035.25</v>
      </c>
    </row>
    <row r="11" spans="1:14" ht="16.5" thickBot="1">
      <c r="A11" s="24">
        <v>7</v>
      </c>
      <c r="B11" s="25" t="s">
        <v>14</v>
      </c>
      <c r="C11" s="26">
        <v>1321540.63885</v>
      </c>
      <c r="D11" s="26">
        <v>1442852.64783</v>
      </c>
      <c r="E11" s="26">
        <v>1005711.69368</v>
      </c>
      <c r="F11" s="26">
        <v>2004425.68</v>
      </c>
      <c r="G11" s="26">
        <v>1797200.09398</v>
      </c>
      <c r="H11" s="26">
        <v>674061.30603</v>
      </c>
      <c r="I11" s="26">
        <f>2838306.84-7000</f>
        <v>2831306.84</v>
      </c>
      <c r="J11" s="26">
        <v>1739091.76</v>
      </c>
      <c r="K11" s="26">
        <v>1400345.21</v>
      </c>
      <c r="L11" s="26">
        <v>939306.16</v>
      </c>
      <c r="M11" s="26">
        <v>772645.86</v>
      </c>
      <c r="N11" s="54">
        <v>776225.0400000002</v>
      </c>
    </row>
    <row r="12" spans="1:14" ht="16.5" thickBot="1">
      <c r="A12" s="27">
        <v>8</v>
      </c>
      <c r="B12" s="28" t="s">
        <v>15</v>
      </c>
      <c r="C12" s="29">
        <f aca="true" t="shared" si="1" ref="C12:M12">SUM(C10:C11)</f>
        <v>10168860.65461</v>
      </c>
      <c r="D12" s="29">
        <f t="shared" si="1"/>
        <v>10617371.50604</v>
      </c>
      <c r="E12" s="29">
        <f>SUM(E10:E11)</f>
        <v>9892531.10185</v>
      </c>
      <c r="F12" s="29">
        <f t="shared" si="1"/>
        <v>11165759.24</v>
      </c>
      <c r="G12" s="29">
        <f t="shared" si="1"/>
        <v>11081815.36798</v>
      </c>
      <c r="H12" s="29">
        <f t="shared" si="1"/>
        <v>7229259.02818</v>
      </c>
      <c r="I12" s="29">
        <f t="shared" si="1"/>
        <v>12322048.959999999</v>
      </c>
      <c r="J12" s="29">
        <f t="shared" si="1"/>
        <v>11085303.65</v>
      </c>
      <c r="K12" s="29">
        <f t="shared" si="1"/>
        <v>10740980.420000002</v>
      </c>
      <c r="L12" s="30">
        <f t="shared" si="1"/>
        <v>10401700.6</v>
      </c>
      <c r="M12" s="29">
        <f t="shared" si="1"/>
        <v>10161260.29</v>
      </c>
      <c r="N12" s="31">
        <f>SUM(N10:N11)</f>
        <v>10211260.290000001</v>
      </c>
    </row>
    <row r="13" spans="1:14" ht="16.5" thickBot="1">
      <c r="A13" s="27">
        <v>9</v>
      </c>
      <c r="B13" s="28" t="s">
        <v>16</v>
      </c>
      <c r="C13" s="29">
        <f aca="true" t="shared" si="2" ref="C13:M13">C9-C12</f>
        <v>-70081.29572600126</v>
      </c>
      <c r="D13" s="29">
        <f t="shared" si="2"/>
        <v>-187791.27270000055</v>
      </c>
      <c r="E13" s="29">
        <f>E9-E12</f>
        <v>329584.6060099993</v>
      </c>
      <c r="F13" s="29">
        <f t="shared" si="2"/>
        <v>370953.02999999933</v>
      </c>
      <c r="G13" s="29">
        <f t="shared" si="2"/>
        <v>-240344.58062000014</v>
      </c>
      <c r="H13" s="29">
        <f t="shared" si="2"/>
        <v>1767247.7727199988</v>
      </c>
      <c r="I13" s="29">
        <f t="shared" si="2"/>
        <v>-1075212.789999999</v>
      </c>
      <c r="J13" s="29">
        <f t="shared" si="2"/>
        <v>50000</v>
      </c>
      <c r="K13" s="29">
        <f t="shared" si="2"/>
        <v>157142.8599999994</v>
      </c>
      <c r="L13" s="29">
        <f t="shared" si="2"/>
        <v>314285.70999999903</v>
      </c>
      <c r="M13" s="29">
        <f t="shared" si="2"/>
        <v>314285.7100000009</v>
      </c>
      <c r="N13" s="31">
        <f>N9-N12</f>
        <v>314285.70999999903</v>
      </c>
    </row>
    <row r="14" spans="1:14" ht="15.75">
      <c r="A14" s="11">
        <v>10</v>
      </c>
      <c r="B14" s="12" t="s">
        <v>17</v>
      </c>
      <c r="C14" s="32">
        <v>254167.16828</v>
      </c>
      <c r="D14" s="32">
        <v>-65522.47705</v>
      </c>
      <c r="E14" s="32">
        <v>-148484.63564</v>
      </c>
      <c r="F14" s="32">
        <v>170600</v>
      </c>
      <c r="G14" s="32">
        <v>650647.61062</v>
      </c>
      <c r="H14" s="32">
        <v>-1422020.49998</v>
      </c>
      <c r="I14" s="32">
        <v>182942.79</v>
      </c>
      <c r="J14" s="32">
        <v>0</v>
      </c>
      <c r="K14" s="32">
        <v>0</v>
      </c>
      <c r="L14" s="32">
        <v>0</v>
      </c>
      <c r="M14" s="32">
        <v>0</v>
      </c>
      <c r="N14" s="33">
        <v>0</v>
      </c>
    </row>
    <row r="15" spans="1:14" ht="15.75">
      <c r="A15" s="11">
        <v>11</v>
      </c>
      <c r="B15" s="12" t="s">
        <v>18</v>
      </c>
      <c r="C15" s="32">
        <v>-9027.75847</v>
      </c>
      <c r="D15" s="32">
        <v>5021.67</v>
      </c>
      <c r="E15" s="32">
        <v>27788.25</v>
      </c>
      <c r="F15" s="32">
        <v>0</v>
      </c>
      <c r="G15" s="32">
        <v>0</v>
      </c>
      <c r="H15" s="32">
        <v>238070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3">
        <v>0</v>
      </c>
    </row>
    <row r="16" spans="1:14" ht="15.75">
      <c r="A16" s="11">
        <v>12</v>
      </c>
      <c r="B16" s="12" t="s">
        <v>19</v>
      </c>
      <c r="C16" s="32">
        <v>-80.737</v>
      </c>
      <c r="D16" s="32">
        <v>-5021.67</v>
      </c>
      <c r="E16" s="32">
        <v>-27788.25</v>
      </c>
      <c r="F16" s="32">
        <v>0</v>
      </c>
      <c r="G16" s="32">
        <v>0</v>
      </c>
      <c r="H16" s="32">
        <v>-238070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3">
        <v>0</v>
      </c>
    </row>
    <row r="17" spans="1:14" ht="15.75">
      <c r="A17" s="11">
        <v>13</v>
      </c>
      <c r="B17" s="12" t="s">
        <v>20</v>
      </c>
      <c r="C17" s="32">
        <v>0</v>
      </c>
      <c r="D17" s="32">
        <v>100000</v>
      </c>
      <c r="E17" s="32">
        <v>218750</v>
      </c>
      <c r="F17" s="32">
        <v>0</v>
      </c>
      <c r="G17" s="32">
        <v>131250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3">
        <v>0</v>
      </c>
    </row>
    <row r="18" spans="1:14" ht="15.75">
      <c r="A18" s="11">
        <v>14</v>
      </c>
      <c r="B18" s="12" t="s">
        <v>21</v>
      </c>
      <c r="C18" s="32">
        <v>0</v>
      </c>
      <c r="D18" s="32">
        <v>0</v>
      </c>
      <c r="E18" s="32">
        <v>-168750</v>
      </c>
      <c r="F18" s="32">
        <v>-281250</v>
      </c>
      <c r="G18" s="32">
        <v>-281250</v>
      </c>
      <c r="H18" s="32">
        <v>-150000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3">
        <v>0</v>
      </c>
    </row>
    <row r="19" spans="1:14" ht="15.75">
      <c r="A19" s="11">
        <v>15</v>
      </c>
      <c r="B19" s="12" t="s">
        <v>22</v>
      </c>
      <c r="C19" s="32">
        <v>0</v>
      </c>
      <c r="D19" s="32">
        <v>200000</v>
      </c>
      <c r="E19" s="32">
        <v>0</v>
      </c>
      <c r="F19" s="32">
        <v>0</v>
      </c>
      <c r="G19" s="32">
        <v>0</v>
      </c>
      <c r="H19" s="32">
        <v>0</v>
      </c>
      <c r="I19" s="32">
        <v>1100000</v>
      </c>
      <c r="J19" s="32">
        <v>0</v>
      </c>
      <c r="K19" s="32">
        <v>0</v>
      </c>
      <c r="L19" s="32">
        <v>0</v>
      </c>
      <c r="M19" s="32">
        <v>0</v>
      </c>
      <c r="N19" s="33">
        <v>0</v>
      </c>
    </row>
    <row r="20" spans="1:14" ht="15.75">
      <c r="A20" s="11">
        <v>16</v>
      </c>
      <c r="B20" s="12" t="s">
        <v>23</v>
      </c>
      <c r="C20" s="32">
        <v>-175000.00001</v>
      </c>
      <c r="D20" s="32">
        <v>-46666.66668</v>
      </c>
      <c r="E20" s="32">
        <v>-260303.03032</v>
      </c>
      <c r="F20" s="32">
        <v>-260303.03</v>
      </c>
      <c r="G20" s="32">
        <v>-260303.03</v>
      </c>
      <c r="H20" s="32">
        <v>-195227.27274</v>
      </c>
      <c r="I20" s="32">
        <v>-207730</v>
      </c>
      <c r="J20" s="32">
        <v>-50000</v>
      </c>
      <c r="K20" s="32">
        <v>-157142.86</v>
      </c>
      <c r="L20" s="32">
        <v>-314285.71</v>
      </c>
      <c r="M20" s="32">
        <v>-314285.71</v>
      </c>
      <c r="N20" s="33">
        <v>-314285.71</v>
      </c>
    </row>
    <row r="21" spans="1:14" ht="15.75">
      <c r="A21" s="11">
        <v>17</v>
      </c>
      <c r="B21" s="12" t="s">
        <v>24</v>
      </c>
      <c r="C21" s="32">
        <v>22.62265</v>
      </c>
      <c r="D21" s="32">
        <v>-19.58357</v>
      </c>
      <c r="E21" s="32">
        <v>-905.43588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3">
        <v>0</v>
      </c>
    </row>
    <row r="22" spans="1:14" ht="16.5" thickBot="1">
      <c r="A22" s="59">
        <v>18</v>
      </c>
      <c r="B22" s="34" t="s">
        <v>19</v>
      </c>
      <c r="C22" s="35">
        <v>0</v>
      </c>
      <c r="D22" s="35">
        <v>0</v>
      </c>
      <c r="E22" s="35">
        <f>33208.49583-3100</f>
        <v>30108.49583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6">
        <v>0</v>
      </c>
    </row>
    <row r="23" spans="1:14" ht="16.5" thickBot="1">
      <c r="A23" s="37">
        <v>19</v>
      </c>
      <c r="B23" s="38" t="s">
        <v>25</v>
      </c>
      <c r="C23" s="29">
        <f aca="true" t="shared" si="3" ref="C23:H23">SUM(C14:C22)</f>
        <v>70081.29545000003</v>
      </c>
      <c r="D23" s="29">
        <f t="shared" si="3"/>
        <v>187791.27270000003</v>
      </c>
      <c r="E23" s="29">
        <f t="shared" si="3"/>
        <v>-329584.60601</v>
      </c>
      <c r="F23" s="29">
        <f t="shared" si="3"/>
        <v>-370953.03</v>
      </c>
      <c r="G23" s="29">
        <f t="shared" si="3"/>
        <v>240344.58062000005</v>
      </c>
      <c r="H23" s="29">
        <f t="shared" si="3"/>
        <v>-1767247.77272</v>
      </c>
      <c r="I23" s="29">
        <f>SUM(I14:I22)</f>
        <v>1075212.79</v>
      </c>
      <c r="J23" s="29">
        <f>SUM(J14:J21)</f>
        <v>-50000</v>
      </c>
      <c r="K23" s="29">
        <f>SUM(K14:K21)</f>
        <v>-157142.86</v>
      </c>
      <c r="L23" s="29">
        <f>SUM(L14:L21)</f>
        <v>-314285.71</v>
      </c>
      <c r="M23" s="29">
        <f>SUM(M14:M21)</f>
        <v>-314285.71</v>
      </c>
      <c r="N23" s="31">
        <f>SUM(N14:N21)</f>
        <v>-314285.71</v>
      </c>
    </row>
    <row r="24" ht="15.75">
      <c r="C24" s="39"/>
    </row>
    <row r="25" spans="1:14" ht="19.5" thickBot="1">
      <c r="A25" s="1" t="s">
        <v>26</v>
      </c>
      <c r="N25" s="3" t="s">
        <v>1</v>
      </c>
    </row>
    <row r="26" spans="1:14" ht="15.75">
      <c r="A26" s="69" t="s">
        <v>2</v>
      </c>
      <c r="B26" s="67" t="s">
        <v>27</v>
      </c>
      <c r="C26" s="4">
        <v>2008</v>
      </c>
      <c r="D26" s="4">
        <v>2009</v>
      </c>
      <c r="E26" s="4">
        <v>2010</v>
      </c>
      <c r="F26" s="66">
        <v>2011</v>
      </c>
      <c r="G26" s="66"/>
      <c r="H26" s="66"/>
      <c r="I26" s="4">
        <v>2012</v>
      </c>
      <c r="J26" s="4">
        <v>2013</v>
      </c>
      <c r="K26" s="4">
        <v>2014</v>
      </c>
      <c r="L26" s="4">
        <v>2015</v>
      </c>
      <c r="M26" s="4">
        <v>2016</v>
      </c>
      <c r="N26" s="49">
        <v>2017</v>
      </c>
    </row>
    <row r="27" spans="1:14" ht="48" thickBot="1">
      <c r="A27" s="70"/>
      <c r="B27" s="71"/>
      <c r="C27" s="40" t="s">
        <v>4</v>
      </c>
      <c r="D27" s="40" t="s">
        <v>5</v>
      </c>
      <c r="E27" s="40" t="s">
        <v>5</v>
      </c>
      <c r="F27" s="41" t="s">
        <v>6</v>
      </c>
      <c r="G27" s="41" t="s">
        <v>50</v>
      </c>
      <c r="H27" s="41" t="s">
        <v>49</v>
      </c>
      <c r="I27" s="62" t="s">
        <v>7</v>
      </c>
      <c r="J27" s="63"/>
      <c r="K27" s="63"/>
      <c r="L27" s="63"/>
      <c r="M27" s="63"/>
      <c r="N27" s="64"/>
    </row>
    <row r="28" spans="1:14" ht="15.75">
      <c r="A28" s="42">
        <v>1</v>
      </c>
      <c r="B28" s="43" t="s">
        <v>28</v>
      </c>
      <c r="C28" s="44">
        <v>52555.65612000001</v>
      </c>
      <c r="D28" s="44">
        <v>48733.9656</v>
      </c>
      <c r="E28" s="44">
        <f>258.5+716.2371+33852.428+1360.696+1984+541.375+40.875+212.3986</f>
        <v>38966.509699999995</v>
      </c>
      <c r="F28" s="44">
        <v>26953</v>
      </c>
      <c r="G28" s="44">
        <v>31260.7</v>
      </c>
      <c r="H28" s="44">
        <v>27962.54124</v>
      </c>
      <c r="I28" s="44">
        <f>28000+3+199.1</f>
        <v>28202.1</v>
      </c>
      <c r="J28" s="44">
        <v>23353</v>
      </c>
      <c r="K28" s="44">
        <v>31003</v>
      </c>
      <c r="L28" s="44">
        <v>31003</v>
      </c>
      <c r="M28" s="44">
        <v>31003</v>
      </c>
      <c r="N28" s="57">
        <v>31003</v>
      </c>
    </row>
    <row r="29" spans="1:14" ht="15.75">
      <c r="A29" s="11">
        <v>2</v>
      </c>
      <c r="B29" s="12" t="s">
        <v>29</v>
      </c>
      <c r="C29" s="32">
        <v>56229.040129999994</v>
      </c>
      <c r="D29" s="32">
        <v>56085.85442999999</v>
      </c>
      <c r="E29" s="32">
        <f>2978.164+2772.0575+3338.77934+30010.12551</f>
        <v>39099.126350000006</v>
      </c>
      <c r="F29" s="32">
        <v>20889</v>
      </c>
      <c r="G29" s="32">
        <v>29735.559999999998</v>
      </c>
      <c r="H29" s="32">
        <v>20564.230990000004</v>
      </c>
      <c r="I29" s="32">
        <f>5559+12300+1700</f>
        <v>19559</v>
      </c>
      <c r="J29" s="32">
        <f>6141+12300+7575</f>
        <v>26016</v>
      </c>
      <c r="K29" s="32">
        <f>6971+12300+7575</f>
        <v>26846</v>
      </c>
      <c r="L29" s="32">
        <f>6971+12300+7575</f>
        <v>26846</v>
      </c>
      <c r="M29" s="32">
        <v>26846</v>
      </c>
      <c r="N29" s="56">
        <v>26846</v>
      </c>
    </row>
    <row r="30" spans="1:14" ht="15.75">
      <c r="A30" s="11">
        <v>3</v>
      </c>
      <c r="B30" s="12" t="s">
        <v>30</v>
      </c>
      <c r="C30" s="32">
        <v>2667595.09084</v>
      </c>
      <c r="D30" s="32">
        <v>2482475.7334000003</v>
      </c>
      <c r="E30" s="32">
        <f>1417567.423+859.341+400840.32324+378.30467+504237.83097+125917.29815+5395.101+7916.84819</f>
        <v>2463112.47022</v>
      </c>
      <c r="F30" s="32">
        <v>3095529.0700000003</v>
      </c>
      <c r="G30" s="32">
        <v>2639512.56</v>
      </c>
      <c r="H30" s="32">
        <v>1646416.19437</v>
      </c>
      <c r="I30" s="32">
        <f>703884.08+149480.3+1837890</f>
        <v>2691254.38</v>
      </c>
      <c r="J30" s="32">
        <f>393573+59000+1829169.85</f>
        <v>2281742.85</v>
      </c>
      <c r="K30" s="32">
        <f>251955+20618+1794968</f>
        <v>2067541</v>
      </c>
      <c r="L30" s="32">
        <f>487037.1+20618+1899049.86</f>
        <v>2406704.96</v>
      </c>
      <c r="M30" s="32">
        <f>495922.27+20618+1914416</f>
        <v>2430956.27</v>
      </c>
      <c r="N30" s="56">
        <f>501955+20618+1914416</f>
        <v>2436989</v>
      </c>
    </row>
    <row r="31" spans="1:14" ht="15.75">
      <c r="A31" s="11">
        <v>4</v>
      </c>
      <c r="B31" s="12" t="s">
        <v>31</v>
      </c>
      <c r="C31" s="32">
        <v>109214.11046000001</v>
      </c>
      <c r="D31" s="32">
        <v>69099.8605</v>
      </c>
      <c r="E31" s="32">
        <f>24629.2845+26008.286+3633.38333+3282.19736+18.24993+738.56</f>
        <v>58309.96111999999</v>
      </c>
      <c r="F31" s="32">
        <v>24332.7</v>
      </c>
      <c r="G31" s="32">
        <v>83900.73</v>
      </c>
      <c r="H31" s="32">
        <v>35536.73097</v>
      </c>
      <c r="I31" s="32">
        <v>16050</v>
      </c>
      <c r="J31" s="32">
        <v>16000</v>
      </c>
      <c r="K31" s="32">
        <v>16000</v>
      </c>
      <c r="L31" s="32">
        <v>16000</v>
      </c>
      <c r="M31" s="32">
        <v>16000</v>
      </c>
      <c r="N31" s="56">
        <v>16000</v>
      </c>
    </row>
    <row r="32" spans="1:14" ht="15.75">
      <c r="A32" s="11">
        <v>5</v>
      </c>
      <c r="B32" s="12" t="s">
        <v>32</v>
      </c>
      <c r="C32" s="32">
        <v>12506.827800000001</v>
      </c>
      <c r="D32" s="32">
        <v>7099.876929999999</v>
      </c>
      <c r="E32" s="32">
        <v>2697.91479</v>
      </c>
      <c r="F32" s="32">
        <v>500</v>
      </c>
      <c r="G32" s="32">
        <v>2130.9</v>
      </c>
      <c r="H32" s="32">
        <v>500</v>
      </c>
      <c r="I32" s="32">
        <v>0</v>
      </c>
      <c r="J32" s="32">
        <v>1190</v>
      </c>
      <c r="K32" s="32">
        <v>1400</v>
      </c>
      <c r="L32" s="32">
        <v>1400</v>
      </c>
      <c r="M32" s="32">
        <v>1400</v>
      </c>
      <c r="N32" s="56">
        <v>1400</v>
      </c>
    </row>
    <row r="33" spans="1:14" ht="15.75">
      <c r="A33" s="11">
        <v>6</v>
      </c>
      <c r="B33" s="12" t="s">
        <v>33</v>
      </c>
      <c r="C33" s="32">
        <v>5167857.08301</v>
      </c>
      <c r="D33" s="32">
        <v>5788401.71428</v>
      </c>
      <c r="E33" s="60">
        <v>5307210.15558</v>
      </c>
      <c r="F33" s="60">
        <v>5422097.92</v>
      </c>
      <c r="G33" s="60">
        <v>5283801.129999999</v>
      </c>
      <c r="H33" s="60">
        <v>3897739.54901</v>
      </c>
      <c r="I33" s="32">
        <f>2992563+151916+2633966</f>
        <v>5778445</v>
      </c>
      <c r="J33" s="32">
        <f>2992563+152216+2638761</f>
        <v>5783540</v>
      </c>
      <c r="K33" s="32">
        <f>2992563+152216+2638911+1000</f>
        <v>5784690</v>
      </c>
      <c r="L33" s="32">
        <v>5798990</v>
      </c>
      <c r="M33" s="32">
        <v>5798990</v>
      </c>
      <c r="N33" s="56">
        <v>5798990</v>
      </c>
    </row>
    <row r="34" spans="1:14" ht="15.75">
      <c r="A34" s="11">
        <v>7</v>
      </c>
      <c r="B34" s="12" t="s">
        <v>34</v>
      </c>
      <c r="C34" s="32">
        <v>194840.10794999998</v>
      </c>
      <c r="D34" s="32">
        <v>260959.9573</v>
      </c>
      <c r="E34" s="60">
        <v>305113.54429</v>
      </c>
      <c r="F34" s="60">
        <v>396126.66000000003</v>
      </c>
      <c r="G34" s="60">
        <v>515429.14</v>
      </c>
      <c r="H34" s="60">
        <v>241202.71499</v>
      </c>
      <c r="I34" s="32">
        <v>227204</v>
      </c>
      <c r="J34" s="32">
        <v>227204</v>
      </c>
      <c r="K34" s="32">
        <v>227204</v>
      </c>
      <c r="L34" s="32">
        <v>227204</v>
      </c>
      <c r="M34" s="32">
        <v>227204</v>
      </c>
      <c r="N34" s="56">
        <v>227204</v>
      </c>
    </row>
    <row r="35" spans="1:14" ht="15.75">
      <c r="A35" s="11">
        <v>8</v>
      </c>
      <c r="B35" s="12" t="s">
        <v>47</v>
      </c>
      <c r="C35" s="32">
        <v>337508.38435999997</v>
      </c>
      <c r="D35" s="32">
        <v>285730.52905</v>
      </c>
      <c r="E35" s="60">
        <v>263597.89342</v>
      </c>
      <c r="F35" s="60">
        <v>265557.37</v>
      </c>
      <c r="G35" s="60">
        <v>296403.05000000005</v>
      </c>
      <c r="H35" s="60">
        <v>172111.66366999998</v>
      </c>
      <c r="I35" s="32">
        <v>238151</v>
      </c>
      <c r="J35" s="32">
        <v>224003.5</v>
      </c>
      <c r="K35" s="32">
        <v>474031</v>
      </c>
      <c r="L35" s="32">
        <v>259151</v>
      </c>
      <c r="M35" s="32">
        <v>259151</v>
      </c>
      <c r="N35" s="56">
        <v>259151</v>
      </c>
    </row>
    <row r="36" spans="1:14" ht="15.75">
      <c r="A36" s="11">
        <v>9</v>
      </c>
      <c r="B36" s="12" t="s">
        <v>35</v>
      </c>
      <c r="C36" s="32">
        <v>94251.67188</v>
      </c>
      <c r="D36" s="32">
        <v>87017.92267999999</v>
      </c>
      <c r="E36" s="32">
        <v>82953.63776</v>
      </c>
      <c r="F36" s="32">
        <v>63921</v>
      </c>
      <c r="G36" s="32">
        <v>90155.87</v>
      </c>
      <c r="H36" s="32">
        <v>76139.31147</v>
      </c>
      <c r="I36" s="32">
        <v>12900</v>
      </c>
      <c r="J36" s="32">
        <v>12770</v>
      </c>
      <c r="K36" s="32">
        <v>12900</v>
      </c>
      <c r="L36" s="32">
        <v>14600</v>
      </c>
      <c r="M36" s="32">
        <v>14600</v>
      </c>
      <c r="N36" s="56">
        <v>14600</v>
      </c>
    </row>
    <row r="37" spans="1:14" ht="15.75">
      <c r="A37" s="11">
        <v>10</v>
      </c>
      <c r="B37" s="12" t="s">
        <v>36</v>
      </c>
      <c r="C37" s="32">
        <v>410508.88213</v>
      </c>
      <c r="D37" s="32">
        <v>503437.46595</v>
      </c>
      <c r="E37" s="32">
        <v>447895.35369</v>
      </c>
      <c r="F37" s="32">
        <v>472625.04000000004</v>
      </c>
      <c r="G37" s="32">
        <v>574688.5900000001</v>
      </c>
      <c r="H37" s="32">
        <v>405648.3062500001</v>
      </c>
      <c r="I37" s="32">
        <f>137460+282929</f>
        <v>420389</v>
      </c>
      <c r="J37" s="32">
        <f>135854+281324</f>
        <v>417178</v>
      </c>
      <c r="K37" s="32">
        <f>80403.76+29549</f>
        <v>109952.76</v>
      </c>
      <c r="L37" s="32">
        <f>135854+287929</f>
        <v>423783</v>
      </c>
      <c r="M37" s="32">
        <f>135854+287929</f>
        <v>423783</v>
      </c>
      <c r="N37" s="56">
        <f>135854+291508.18</f>
        <v>427362.18</v>
      </c>
    </row>
    <row r="38" spans="1:14" ht="15.75">
      <c r="A38" s="11">
        <v>11</v>
      </c>
      <c r="B38" s="12" t="s">
        <v>37</v>
      </c>
      <c r="C38" s="32">
        <v>102317.36664</v>
      </c>
      <c r="D38" s="32">
        <v>131436.637</v>
      </c>
      <c r="E38" s="32">
        <v>117683.68849</v>
      </c>
      <c r="F38" s="32">
        <v>416742.71</v>
      </c>
      <c r="G38" s="32">
        <v>312298.53</v>
      </c>
      <c r="H38" s="32">
        <v>108131.93872</v>
      </c>
      <c r="I38" s="32">
        <v>2224444.26</v>
      </c>
      <c r="J38" s="32">
        <f>5525+1334351.59+63750+19330</f>
        <v>1422956.59</v>
      </c>
      <c r="K38" s="32">
        <f>6500+1125574.99+75000+20216</f>
        <v>1227290.99</v>
      </c>
      <c r="L38" s="32">
        <f>6500+405954.48+75000+20216</f>
        <v>507670.48</v>
      </c>
      <c r="M38" s="32">
        <f>6500+100770+75000+20216</f>
        <v>202486</v>
      </c>
      <c r="N38" s="56">
        <f>6500+100770+75000+20216</f>
        <v>202486</v>
      </c>
    </row>
    <row r="39" spans="1:14" ht="15.75">
      <c r="A39" s="11">
        <v>12</v>
      </c>
      <c r="B39" s="12" t="s">
        <v>38</v>
      </c>
      <c r="C39" s="32">
        <v>106781.47206999999</v>
      </c>
      <c r="D39" s="32">
        <v>90121.3599</v>
      </c>
      <c r="E39" s="32">
        <v>69659.07892</v>
      </c>
      <c r="F39" s="32">
        <v>93397.95</v>
      </c>
      <c r="G39" s="32">
        <v>98953.2</v>
      </c>
      <c r="H39" s="32">
        <v>60472.59556</v>
      </c>
      <c r="I39" s="32">
        <f>5567.08+20+51463</f>
        <v>57050.08</v>
      </c>
      <c r="J39" s="32">
        <v>50513</v>
      </c>
      <c r="K39" s="32">
        <v>51013</v>
      </c>
      <c r="L39" s="32">
        <v>51513</v>
      </c>
      <c r="M39" s="32">
        <v>51513</v>
      </c>
      <c r="N39" s="56">
        <v>51513</v>
      </c>
    </row>
    <row r="40" spans="1:14" ht="15.75">
      <c r="A40" s="11">
        <v>13</v>
      </c>
      <c r="B40" s="12" t="s">
        <v>39</v>
      </c>
      <c r="C40" s="32">
        <v>283967.37815000006</v>
      </c>
      <c r="D40" s="32">
        <v>308986.57251</v>
      </c>
      <c r="E40" s="32">
        <v>258019.01303</v>
      </c>
      <c r="F40" s="32">
        <v>370290.53</v>
      </c>
      <c r="G40" s="32">
        <v>548599.49</v>
      </c>
      <c r="H40" s="32">
        <v>218586.65819</v>
      </c>
      <c r="I40" s="32">
        <f>16150+81700.5</f>
        <v>97850.5</v>
      </c>
      <c r="J40" s="32">
        <f>40450+80170.5</f>
        <v>120620.5</v>
      </c>
      <c r="K40" s="32">
        <f>122450+81700.5</f>
        <v>204150.5</v>
      </c>
      <c r="L40" s="32">
        <f>50450+81700.5</f>
        <v>132150.5</v>
      </c>
      <c r="M40" s="32">
        <f>50450+81700.5</f>
        <v>132150.5</v>
      </c>
      <c r="N40" s="56">
        <f>50450+81700.5</f>
        <v>132150.5</v>
      </c>
    </row>
    <row r="41" spans="1:14" ht="15.75">
      <c r="A41" s="11">
        <v>14</v>
      </c>
      <c r="B41" s="12" t="s">
        <v>40</v>
      </c>
      <c r="C41" s="32">
        <v>2941.68748</v>
      </c>
      <c r="D41" s="32">
        <v>15200.834799999999</v>
      </c>
      <c r="E41" s="32">
        <v>5054.39814</v>
      </c>
      <c r="F41" s="32">
        <v>6923</v>
      </c>
      <c r="G41" s="32">
        <v>5703</v>
      </c>
      <c r="H41" s="32">
        <v>2382.6832200000003</v>
      </c>
      <c r="I41" s="32">
        <v>7123</v>
      </c>
      <c r="J41" s="32">
        <v>7123</v>
      </c>
      <c r="K41" s="32">
        <v>7123</v>
      </c>
      <c r="L41" s="32">
        <v>7123</v>
      </c>
      <c r="M41" s="32">
        <v>7123</v>
      </c>
      <c r="N41" s="56">
        <v>7123</v>
      </c>
    </row>
    <row r="42" spans="1:14" ht="15.75">
      <c r="A42" s="11">
        <v>15</v>
      </c>
      <c r="B42" s="12" t="s">
        <v>41</v>
      </c>
      <c r="C42" s="32">
        <v>34612</v>
      </c>
      <c r="D42" s="32">
        <v>22841</v>
      </c>
      <c r="E42" s="32">
        <v>21496.4423</v>
      </c>
      <c r="F42" s="32">
        <v>13030</v>
      </c>
      <c r="G42" s="32">
        <v>15030</v>
      </c>
      <c r="H42" s="32">
        <v>14969.5</v>
      </c>
      <c r="I42" s="32">
        <f>22320-7000</f>
        <v>15320</v>
      </c>
      <c r="J42" s="32">
        <v>13022</v>
      </c>
      <c r="K42" s="32">
        <v>15320</v>
      </c>
      <c r="L42" s="32">
        <v>15320</v>
      </c>
      <c r="M42" s="32">
        <v>15320</v>
      </c>
      <c r="N42" s="56">
        <v>15320</v>
      </c>
    </row>
    <row r="43" spans="1:14" ht="15.75">
      <c r="A43" s="11">
        <v>16</v>
      </c>
      <c r="B43" s="12" t="s">
        <v>42</v>
      </c>
      <c r="C43" s="32">
        <v>433515.29124</v>
      </c>
      <c r="D43" s="32">
        <v>348141.25134</v>
      </c>
      <c r="E43" s="32">
        <v>315936.22765</v>
      </c>
      <c r="F43" s="32">
        <v>394494.67000000004</v>
      </c>
      <c r="G43" s="32">
        <v>446644.32999999996</v>
      </c>
      <c r="H43" s="32">
        <v>227825.36632</v>
      </c>
      <c r="I43" s="32">
        <f>31266+374490.64+7000</f>
        <v>412756.64</v>
      </c>
      <c r="J43" s="32">
        <f>30368.1+344945.81</f>
        <v>375313.91</v>
      </c>
      <c r="K43" s="32">
        <f>30016+373286.67</f>
        <v>403302.67</v>
      </c>
      <c r="L43" s="32">
        <f>30016+378791.73</f>
        <v>408807.73</v>
      </c>
      <c r="M43" s="32">
        <f>30016+428791.73</f>
        <v>458807.73</v>
      </c>
      <c r="N43" s="56">
        <f>30016+478791.73</f>
        <v>508807.73</v>
      </c>
    </row>
    <row r="44" spans="1:14" ht="15.75">
      <c r="A44" s="11">
        <v>17</v>
      </c>
      <c r="B44" s="12" t="s">
        <v>43</v>
      </c>
      <c r="C44" s="32">
        <v>1.55963</v>
      </c>
      <c r="D44" s="32">
        <v>5286.335929999999</v>
      </c>
      <c r="E44" s="32">
        <v>756.332</v>
      </c>
      <c r="F44" s="32">
        <v>2938.02</v>
      </c>
      <c r="G44" s="32">
        <v>4270.22</v>
      </c>
      <c r="H44" s="32">
        <v>496.53302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56">
        <v>0</v>
      </c>
    </row>
    <row r="45" spans="1:14" ht="15.75">
      <c r="A45" s="11">
        <v>18</v>
      </c>
      <c r="B45" s="12" t="s">
        <v>44</v>
      </c>
      <c r="C45" s="32">
        <f>4829478.05124-4775432.74686</f>
        <v>54045.30437999964</v>
      </c>
      <c r="D45" s="32">
        <f>5291186.96645-5257609.04122</f>
        <v>33577.92523000017</v>
      </c>
      <c r="E45" s="32">
        <v>46210.5</v>
      </c>
      <c r="F45" s="32">
        <v>64110.6</v>
      </c>
      <c r="G45" s="32">
        <f>317130.93-247816.99734</f>
        <v>69313.93265999999</v>
      </c>
      <c r="H45" s="32">
        <f>4009342.32632-3970509.12189</f>
        <v>38833.204429999925</v>
      </c>
      <c r="I45" s="32">
        <f>27250+32800+15300</f>
        <v>75350</v>
      </c>
      <c r="J45" s="32">
        <f>34657.3+32800+15300</f>
        <v>82757.3</v>
      </c>
      <c r="K45" s="32">
        <f>33112.5+32800+15300</f>
        <v>81212.5</v>
      </c>
      <c r="L45" s="32">
        <f>25333.93+32800+15300</f>
        <v>73433.93</v>
      </c>
      <c r="M45" s="32">
        <f>15826.79+32800+15300</f>
        <v>63926.79</v>
      </c>
      <c r="N45" s="56">
        <f>6214.88+32800+15300</f>
        <v>54314.88</v>
      </c>
    </row>
    <row r="46" spans="1:14" ht="16.5" thickBot="1">
      <c r="A46" s="45">
        <v>19</v>
      </c>
      <c r="B46" s="46" t="s">
        <v>45</v>
      </c>
      <c r="C46" s="47">
        <v>47611.74034</v>
      </c>
      <c r="D46" s="47">
        <v>72736.70921000002</v>
      </c>
      <c r="E46" s="47">
        <v>48758.85594</v>
      </c>
      <c r="F46" s="47">
        <v>15300</v>
      </c>
      <c r="G46" s="47">
        <v>33984.44</v>
      </c>
      <c r="H46" s="47">
        <v>33739.305759999996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58">
        <v>0</v>
      </c>
    </row>
    <row r="47" spans="1:14" ht="16.5" thickBot="1">
      <c r="A47" s="37">
        <v>20</v>
      </c>
      <c r="B47" s="38" t="s">
        <v>15</v>
      </c>
      <c r="C47" s="29">
        <f aca="true" t="shared" si="4" ref="C47:N47">SUM(C28:C46)</f>
        <v>10168860.654609999</v>
      </c>
      <c r="D47" s="29">
        <f t="shared" si="4"/>
        <v>10617371.506039998</v>
      </c>
      <c r="E47" s="29">
        <f>SUM(E28:E46)</f>
        <v>9892531.103389999</v>
      </c>
      <c r="F47" s="29">
        <f t="shared" si="4"/>
        <v>11165759.24</v>
      </c>
      <c r="G47" s="29">
        <f t="shared" si="4"/>
        <v>11081815.372659998</v>
      </c>
      <c r="H47" s="29">
        <f t="shared" si="4"/>
        <v>7229259.02818</v>
      </c>
      <c r="I47" s="29">
        <f>SUM(I28:I46)</f>
        <v>12322048.96</v>
      </c>
      <c r="J47" s="29">
        <f t="shared" si="4"/>
        <v>11085303.65</v>
      </c>
      <c r="K47" s="29">
        <f t="shared" si="4"/>
        <v>10740980.42</v>
      </c>
      <c r="L47" s="30">
        <f t="shared" si="4"/>
        <v>10401700.600000001</v>
      </c>
      <c r="M47" s="29">
        <f t="shared" si="4"/>
        <v>10161260.29</v>
      </c>
      <c r="N47" s="55">
        <f t="shared" si="4"/>
        <v>10211260.290000001</v>
      </c>
    </row>
    <row r="48" spans="3:14" ht="15.7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</sheetData>
  <sheetProtection/>
  <mergeCells count="9">
    <mergeCell ref="I27:N27"/>
    <mergeCell ref="A1:M1"/>
    <mergeCell ref="F3:H3"/>
    <mergeCell ref="B3:B4"/>
    <mergeCell ref="A3:A4"/>
    <mergeCell ref="A26:A27"/>
    <mergeCell ref="B26:B27"/>
    <mergeCell ref="F26:H26"/>
    <mergeCell ref="I4:N4"/>
  </mergeCells>
  <printOptions horizontalCentered="1"/>
  <pageMargins left="0.4330708661417323" right="0.3937007874015748" top="0.7480314960629921" bottom="0.34" header="0.57" footer="0.15748031496062992"/>
  <pageSetup horizontalDpi="600" verticalDpi="600" orientation="landscape" paperSize="9" scale="64" r:id="rId1"/>
  <headerFooter alignWithMargins="0">
    <oddHeader>&amp;R&amp;"Times New Roman,Obyčejné"&amp;16Příloha č. 3</oddHeader>
    <oddFooter>&amp;L&amp;"Times New Roman,Obyčejné"&amp;14ZK 081111 SRV Příloha č.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Prantlová</dc:creator>
  <cp:keywords/>
  <dc:description/>
  <cp:lastModifiedBy>mikula</cp:lastModifiedBy>
  <cp:lastPrinted>2011-10-25T11:32:56Z</cp:lastPrinted>
  <dcterms:created xsi:type="dcterms:W3CDTF">2010-09-22T14:26:52Z</dcterms:created>
  <dcterms:modified xsi:type="dcterms:W3CDTF">2011-10-25T11:36:57Z</dcterms:modified>
  <cp:category/>
  <cp:version/>
  <cp:contentType/>
  <cp:contentStatus/>
</cp:coreProperties>
</file>