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835" tabRatio="122" activeTab="0"/>
  </bookViews>
  <sheets>
    <sheet name="SRV" sheetId="1" r:id="rId1"/>
  </sheets>
  <definedNames>
    <definedName name="_xlnm.Print_Titles" localSheetId="0">'SRV'!$1:$4</definedName>
  </definedNames>
  <calcPr fullCalcOnLoad="1"/>
</workbook>
</file>

<file path=xl/sharedStrings.xml><?xml version="1.0" encoding="utf-8"?>
<sst xmlns="http://schemas.openxmlformats.org/spreadsheetml/2006/main" count="104" uniqueCount="77">
  <si>
    <t>(v mil. Kč)</t>
  </si>
  <si>
    <t>ř/sl</t>
  </si>
  <si>
    <t>Text</t>
  </si>
  <si>
    <t>SR 2007</t>
  </si>
  <si>
    <t>Příjmy celkem</t>
  </si>
  <si>
    <t>z toho:</t>
  </si>
  <si>
    <t>dotace (bez projektů EU)</t>
  </si>
  <si>
    <t xml:space="preserve">          v tom dotace na přímé výdaje školství</t>
  </si>
  <si>
    <t xml:space="preserve">vlastní příjmy (bez prodeje majetku a daní) </t>
  </si>
  <si>
    <t>prodej majetku</t>
  </si>
  <si>
    <t>daňové příjmy (RUD) s navýš.100 mil. v 08</t>
  </si>
  <si>
    <t>disponibilní příjmy (ř. 2+3+4+5) - mezisoučet</t>
  </si>
  <si>
    <t>prostředky ze SF EU, SR a vratky NFV</t>
  </si>
  <si>
    <t xml:space="preserve">     v tom vratka předfinancování (vč. NFV)</t>
  </si>
  <si>
    <t>Výdaje celkem</t>
  </si>
  <si>
    <t>Samospráva a kancelář hejtmana celkem</t>
  </si>
  <si>
    <t xml:space="preserve">provoz </t>
  </si>
  <si>
    <t>investice</t>
  </si>
  <si>
    <t xml:space="preserve">prostředky grantové a dotační politiky </t>
  </si>
  <si>
    <t>Zdravotnictví celkem</t>
  </si>
  <si>
    <t>provoz</t>
  </si>
  <si>
    <t xml:space="preserve">             v tom: nemocnice</t>
  </si>
  <si>
    <t xml:space="preserve">                        terénní (ZZS + LSPP)</t>
  </si>
  <si>
    <t>investice (vč. navýš. základ. kapitálu)</t>
  </si>
  <si>
    <t>prostředky grantové a dotační politiky</t>
  </si>
  <si>
    <t xml:space="preserve">Sociální oblast celkem </t>
  </si>
  <si>
    <t>Školství celkem</t>
  </si>
  <si>
    <t xml:space="preserve">       hrazeno z dotace na provoz</t>
  </si>
  <si>
    <t xml:space="preserve">       vlastní prostředky na provoz</t>
  </si>
  <si>
    <t xml:space="preserve">       z toho: zřizované organizace školství</t>
  </si>
  <si>
    <t xml:space="preserve">                  soukromé,  obecní školství</t>
  </si>
  <si>
    <t xml:space="preserve">Doprava celkem </t>
  </si>
  <si>
    <t xml:space="preserve">    z toho: dopravní infrastruktura - údržba SUS</t>
  </si>
  <si>
    <t xml:space="preserve">              dopravní obslužnost</t>
  </si>
  <si>
    <t xml:space="preserve">              v tom  železniční dopr. obslužnost</t>
  </si>
  <si>
    <t xml:space="preserve">                        silniční dopr. obslužnost</t>
  </si>
  <si>
    <t xml:space="preserve">                        žákovské jízdné</t>
  </si>
  <si>
    <t>investice (dopravní infrastruktura)</t>
  </si>
  <si>
    <t xml:space="preserve">     z toho: zřizované PO</t>
  </si>
  <si>
    <t>Cestovní ruch celkem (vč. propagace+veletrhů)</t>
  </si>
  <si>
    <t xml:space="preserve">Zemědělství a lesnictví celkem   </t>
  </si>
  <si>
    <t>ŽP, vodní hospodářství (vč. protipovod. opatření)</t>
  </si>
  <si>
    <t>prostředky grantové a dotační polit. (vč.FVH)</t>
  </si>
  <si>
    <t>protipovodńová opatření (převaha je v PRK)</t>
  </si>
  <si>
    <t>Regionální rozvoj celkem</t>
  </si>
  <si>
    <t>provoz  (bez EU)</t>
  </si>
  <si>
    <t>investice  (bez EU)</t>
  </si>
  <si>
    <t>POV  (obcím)</t>
  </si>
  <si>
    <t xml:space="preserve">            </t>
  </si>
  <si>
    <t xml:space="preserve">    z toho:výkon státní správy</t>
  </si>
  <si>
    <t xml:space="preserve">              výkon samosprávy</t>
  </si>
  <si>
    <t xml:space="preserve">Příjmy - Výdaje </t>
  </si>
  <si>
    <t>V tom celkové výdaje na grantovou a dotační politiku</t>
  </si>
  <si>
    <t>Celková bilance hospodaření</t>
  </si>
  <si>
    <t>Evropská unie</t>
  </si>
  <si>
    <t>Kultura a památková péče celkem</t>
  </si>
  <si>
    <t>Evropská unie (kofinanc.+průběž. financ.)</t>
  </si>
  <si>
    <t>z toho:kofinancování SF EU</t>
  </si>
  <si>
    <t xml:space="preserve">          předfinancování SF EU a SR</t>
  </si>
  <si>
    <t xml:space="preserve">         povinný příspěvek kraje na spolufin. ROP</t>
  </si>
  <si>
    <t xml:space="preserve">          investice</t>
  </si>
  <si>
    <t xml:space="preserve">         rezerva (vč.krizové)a spec.agendy KÚ</t>
  </si>
  <si>
    <t>pojištění</t>
  </si>
  <si>
    <t>účelové prostředky kraje celkem (vč. rezervy)</t>
  </si>
  <si>
    <t>provoz (včetně JCCR)</t>
  </si>
  <si>
    <t xml:space="preserve">Ekonomika </t>
  </si>
  <si>
    <t>olympiáda dětí a mládeže</t>
  </si>
  <si>
    <t>úroky z úvěrů a čerpání kontokorentu</t>
  </si>
  <si>
    <t>Financování - ekonomika</t>
  </si>
  <si>
    <t>splácení úvěru EIB</t>
  </si>
  <si>
    <t>potřebný úvěrový rámec</t>
  </si>
  <si>
    <t>z toho:provoz (vč.povin.dle les.zák.)</t>
  </si>
  <si>
    <t xml:space="preserve">splácení nového úvěrového rámce </t>
  </si>
  <si>
    <t xml:space="preserve">       příspěvek do FRŠ</t>
  </si>
  <si>
    <t>investice (zřizované PO jako užití FRŠ)</t>
  </si>
  <si>
    <t>Krajský úřad celkem (bez KHEJ - viz. ř.11)</t>
  </si>
  <si>
    <t>Střednědobý rozpočtový výhled Jihočeského kraje na roky 2009 – 2015, schválený 16. 9. 2008 usnesením č. 353/2008/ZK zastupitelstva kraje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</si>
</sst>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#,##0.0000"/>
    <numFmt numFmtId="168" formatCode="#,##0.000000"/>
    <numFmt numFmtId="169" formatCode="0.000"/>
    <numFmt numFmtId="170" formatCode="#,##0.00\ _K_č"/>
    <numFmt numFmtId="171" formatCode="#,##0.000\ _K_č"/>
    <numFmt numFmtId="172" formatCode="0.00000"/>
    <numFmt numFmtId="173" formatCode="0.0000"/>
    <numFmt numFmtId="174" formatCode="#,##0.00000"/>
    <numFmt numFmtId="175" formatCode="#,##0.0000000"/>
    <numFmt numFmtId="176" formatCode="#,##0.00000000"/>
    <numFmt numFmtId="177" formatCode="#,##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1">
    <font>
      <sz val="11"/>
      <name val="Times New Roman CE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i/>
      <sz val="11"/>
      <name val="Times New Roman CE"/>
      <family val="1"/>
    </font>
    <font>
      <i/>
      <sz val="9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4" fontId="5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6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0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1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20" applyFont="1" applyFill="1" applyBorder="1" applyAlignment="1">
      <alignment vertical="center"/>
      <protection/>
    </xf>
    <xf numFmtId="164" fontId="5" fillId="0" borderId="3" xfId="20" applyNumberFormat="1" applyFont="1" applyFill="1" applyBorder="1" applyAlignment="1">
      <alignment horizontal="right" vertical="center"/>
      <protection/>
    </xf>
    <xf numFmtId="0" fontId="5" fillId="0" borderId="6" xfId="0" applyFont="1" applyFill="1" applyBorder="1" applyAlignment="1">
      <alignment/>
    </xf>
    <xf numFmtId="0" fontId="5" fillId="0" borderId="7" xfId="20" applyFont="1" applyFill="1" applyBorder="1" applyAlignment="1">
      <alignment vertical="center"/>
      <protection/>
    </xf>
    <xf numFmtId="164" fontId="5" fillId="0" borderId="1" xfId="20" applyNumberFormat="1" applyFont="1" applyFill="1" applyBorder="1" applyAlignment="1">
      <alignment horizontal="right" vertical="center"/>
      <protection/>
    </xf>
    <xf numFmtId="164" fontId="0" fillId="0" borderId="1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5" xfId="0" applyFont="1" applyFill="1" applyBorder="1" applyAlignment="1">
      <alignment horizontal="left"/>
    </xf>
    <xf numFmtId="164" fontId="0" fillId="0" borderId="3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5" fillId="0" borderId="7" xfId="20" applyFont="1" applyFill="1" applyBorder="1" applyAlignment="1">
      <alignment horizontal="left" vertical="center"/>
      <protection/>
    </xf>
    <xf numFmtId="0" fontId="8" fillId="0" borderId="2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164" fontId="8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20" applyFont="1" applyFill="1" applyBorder="1" applyAlignment="1">
      <alignment vertical="center"/>
      <protection/>
    </xf>
    <xf numFmtId="164" fontId="5" fillId="0" borderId="20" xfId="0" applyNumberFormat="1" applyFont="1" applyFill="1" applyBorder="1" applyAlignment="1">
      <alignment/>
    </xf>
    <xf numFmtId="164" fontId="5" fillId="0" borderId="20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177" fontId="0" fillId="0" borderId="0" xfId="0" applyNumberFormat="1" applyFont="1" applyAlignment="1">
      <alignment/>
    </xf>
    <xf numFmtId="0" fontId="8" fillId="0" borderId="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4"/>
  <sheetViews>
    <sheetView tabSelected="1" zoomScale="85" zoomScaleNormal="85" workbookViewId="0" topLeftCell="A1">
      <selection activeCell="A2" sqref="A2"/>
    </sheetView>
  </sheetViews>
  <sheetFormatPr defaultColWidth="8.796875" defaultRowHeight="14.25"/>
  <cols>
    <col min="1" max="1" width="5.296875" style="2" customWidth="1"/>
    <col min="2" max="2" width="6.3984375" style="2" customWidth="1"/>
    <col min="3" max="3" width="42" style="2" customWidth="1"/>
    <col min="4" max="4" width="10.69921875" style="2" hidden="1" customWidth="1"/>
    <col min="5" max="11" width="14.296875" style="2" customWidth="1"/>
    <col min="12" max="13" width="12.3984375" style="2" bestFit="1" customWidth="1"/>
    <col min="14" max="14" width="12.69921875" style="2" bestFit="1" customWidth="1"/>
    <col min="15" max="15" width="13.59765625" style="2" bestFit="1" customWidth="1"/>
    <col min="16" max="16" width="12.69921875" style="2" bestFit="1" customWidth="1"/>
    <col min="17" max="17" width="12.3984375" style="2" bestFit="1" customWidth="1"/>
    <col min="18" max="27" width="11.69921875" style="2" bestFit="1" customWidth="1"/>
    <col min="28" max="28" width="12.3984375" style="2" bestFit="1" customWidth="1"/>
    <col min="29" max="29" width="11.69921875" style="2" bestFit="1" customWidth="1"/>
    <col min="30" max="30" width="12.3984375" style="2" bestFit="1" customWidth="1"/>
    <col min="31" max="31" width="12.69921875" style="2" bestFit="1" customWidth="1"/>
    <col min="32" max="32" width="13.59765625" style="2" bestFit="1" customWidth="1"/>
    <col min="33" max="33" width="11.69921875" style="2" bestFit="1" customWidth="1"/>
    <col min="34" max="34" width="12.3984375" style="2" bestFit="1" customWidth="1"/>
    <col min="35" max="44" width="11.69921875" style="2" bestFit="1" customWidth="1"/>
    <col min="45" max="45" width="12.3984375" style="2" bestFit="1" customWidth="1"/>
    <col min="46" max="46" width="11.69921875" style="2" bestFit="1" customWidth="1"/>
    <col min="47" max="16384" width="9.09765625" style="2" customWidth="1"/>
  </cols>
  <sheetData>
    <row r="1" spans="1:8" ht="18.75">
      <c r="A1" s="79" t="s">
        <v>76</v>
      </c>
      <c r="B1" s="1"/>
      <c r="C1" s="1"/>
      <c r="D1" s="1"/>
      <c r="E1" s="1"/>
      <c r="F1" s="1"/>
      <c r="G1" s="1"/>
      <c r="H1" s="1"/>
    </row>
    <row r="2" spans="1:11" ht="15">
      <c r="A2" s="3"/>
      <c r="B2" s="3"/>
      <c r="C2" s="3"/>
      <c r="D2" s="3"/>
      <c r="E2" s="4"/>
      <c r="F2" s="5"/>
      <c r="G2" s="4"/>
      <c r="H2" s="5"/>
      <c r="I2" s="5"/>
      <c r="J2" s="5"/>
      <c r="K2" s="5" t="s">
        <v>0</v>
      </c>
    </row>
    <row r="3" spans="1:11" ht="15">
      <c r="A3" s="86" t="s">
        <v>1</v>
      </c>
      <c r="B3" s="88" t="s">
        <v>2</v>
      </c>
      <c r="C3" s="89"/>
      <c r="D3" s="6" t="s">
        <v>3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</row>
    <row r="4" spans="1:11" s="82" customFormat="1" ht="12.75" thickBot="1">
      <c r="A4" s="87"/>
      <c r="B4" s="94">
        <v>1</v>
      </c>
      <c r="C4" s="95"/>
      <c r="D4" s="80">
        <v>3</v>
      </c>
      <c r="E4" s="80">
        <v>2</v>
      </c>
      <c r="F4" s="80">
        <v>3</v>
      </c>
      <c r="G4" s="80">
        <v>4</v>
      </c>
      <c r="H4" s="80">
        <v>5</v>
      </c>
      <c r="I4" s="81">
        <v>6</v>
      </c>
      <c r="J4" s="81">
        <v>7</v>
      </c>
      <c r="K4" s="81">
        <v>8</v>
      </c>
    </row>
    <row r="5" spans="1:11" ht="15.75" thickBot="1">
      <c r="A5" s="7">
        <v>1</v>
      </c>
      <c r="B5" s="90" t="s">
        <v>4</v>
      </c>
      <c r="C5" s="91"/>
      <c r="D5" s="8">
        <f aca="true" t="shared" si="0" ref="D5:K5">SUM(D6+D8+D9+D10+D12)</f>
        <v>13097.1199</v>
      </c>
      <c r="E5" s="8">
        <f t="shared" si="0"/>
        <v>10620.705</v>
      </c>
      <c r="F5" s="8">
        <f t="shared" si="0"/>
        <v>11238.237</v>
      </c>
      <c r="G5" s="8">
        <f t="shared" si="0"/>
        <v>11178.373</v>
      </c>
      <c r="H5" s="8">
        <f t="shared" si="0"/>
        <v>11276.533</v>
      </c>
      <c r="I5" s="8">
        <f t="shared" si="0"/>
        <v>11603.4</v>
      </c>
      <c r="J5" s="8">
        <f t="shared" si="0"/>
        <v>11993.9</v>
      </c>
      <c r="K5" s="8">
        <f t="shared" si="0"/>
        <v>12574.461</v>
      </c>
    </row>
    <row r="6" spans="1:11" ht="15">
      <c r="A6" s="9">
        <v>2</v>
      </c>
      <c r="B6" s="10" t="s">
        <v>5</v>
      </c>
      <c r="C6" s="11" t="s">
        <v>6</v>
      </c>
      <c r="D6" s="12">
        <v>4888.138</v>
      </c>
      <c r="E6" s="12">
        <f>5300-40</f>
        <v>5260</v>
      </c>
      <c r="F6" s="12">
        <f>5450-40</f>
        <v>5410</v>
      </c>
      <c r="G6" s="12">
        <f>5600+70-30</f>
        <v>5640</v>
      </c>
      <c r="H6" s="12">
        <f>5800+70-20</f>
        <v>5850</v>
      </c>
      <c r="I6" s="12">
        <f>6000+100-20</f>
        <v>6080</v>
      </c>
      <c r="J6" s="12">
        <f>6200+70-20</f>
        <v>6250</v>
      </c>
      <c r="K6" s="12">
        <f>6500+90-20</f>
        <v>6570</v>
      </c>
    </row>
    <row r="7" spans="1:11" ht="15">
      <c r="A7" s="9">
        <v>3</v>
      </c>
      <c r="B7" s="10"/>
      <c r="C7" s="11" t="s">
        <v>7</v>
      </c>
      <c r="D7" s="12"/>
      <c r="E7" s="12">
        <v>5092</v>
      </c>
      <c r="F7" s="12">
        <v>5310</v>
      </c>
      <c r="G7" s="12">
        <v>5530</v>
      </c>
      <c r="H7" s="12">
        <v>5750</v>
      </c>
      <c r="I7" s="12">
        <v>5980</v>
      </c>
      <c r="J7" s="12">
        <v>6150</v>
      </c>
      <c r="K7" s="12">
        <v>6470</v>
      </c>
    </row>
    <row r="8" spans="1:11" ht="15">
      <c r="A8" s="9">
        <v>4</v>
      </c>
      <c r="B8" s="14"/>
      <c r="C8" s="15" t="s">
        <v>8</v>
      </c>
      <c r="D8" s="16">
        <v>4084.3829000000005</v>
      </c>
      <c r="E8" s="16">
        <v>38</v>
      </c>
      <c r="F8" s="16">
        <v>39</v>
      </c>
      <c r="G8" s="16">
        <v>39</v>
      </c>
      <c r="H8" s="16">
        <v>39</v>
      </c>
      <c r="I8" s="16">
        <v>39</v>
      </c>
      <c r="J8" s="16">
        <v>39</v>
      </c>
      <c r="K8" s="16">
        <v>39</v>
      </c>
    </row>
    <row r="9" spans="1:11" ht="15">
      <c r="A9" s="9">
        <v>5</v>
      </c>
      <c r="B9" s="14"/>
      <c r="C9" s="15" t="s">
        <v>9</v>
      </c>
      <c r="D9" s="16"/>
      <c r="E9" s="16">
        <v>40</v>
      </c>
      <c r="F9" s="16">
        <v>50</v>
      </c>
      <c r="G9" s="16">
        <v>50</v>
      </c>
      <c r="H9" s="16">
        <v>40</v>
      </c>
      <c r="I9" s="16">
        <v>40</v>
      </c>
      <c r="J9" s="16">
        <v>30</v>
      </c>
      <c r="K9" s="16">
        <v>30</v>
      </c>
    </row>
    <row r="10" spans="1:11" ht="15">
      <c r="A10" s="9">
        <v>6</v>
      </c>
      <c r="B10" s="14"/>
      <c r="C10" s="15" t="s">
        <v>10</v>
      </c>
      <c r="D10" s="16">
        <v>3989.7</v>
      </c>
      <c r="E10" s="16">
        <v>4600</v>
      </c>
      <c r="F10" s="16">
        <v>4784</v>
      </c>
      <c r="G10" s="16">
        <v>4920</v>
      </c>
      <c r="H10" s="16">
        <f>5050+23.4</f>
        <v>5073.4</v>
      </c>
      <c r="I10" s="16">
        <f>5125+24.9</f>
        <v>5149.9</v>
      </c>
      <c r="J10" s="16">
        <f>5200+23.9</f>
        <v>5223.9</v>
      </c>
      <c r="K10" s="16">
        <f>5280+22.9</f>
        <v>5302.9</v>
      </c>
    </row>
    <row r="11" spans="1:12" s="21" customFormat="1" ht="15">
      <c r="A11" s="9">
        <v>7</v>
      </c>
      <c r="B11" s="17" t="s">
        <v>11</v>
      </c>
      <c r="C11" s="18"/>
      <c r="D11" s="19">
        <f aca="true" t="shared" si="1" ref="D11:K11">SUM(D6:D10)-D7</f>
        <v>12962.2209</v>
      </c>
      <c r="E11" s="19">
        <f t="shared" si="1"/>
        <v>9938</v>
      </c>
      <c r="F11" s="19">
        <f t="shared" si="1"/>
        <v>10283</v>
      </c>
      <c r="G11" s="19">
        <f t="shared" si="1"/>
        <v>10649</v>
      </c>
      <c r="H11" s="19">
        <f t="shared" si="1"/>
        <v>11002.400000000001</v>
      </c>
      <c r="I11" s="19">
        <f t="shared" si="1"/>
        <v>11308.900000000001</v>
      </c>
      <c r="J11" s="19">
        <f t="shared" si="1"/>
        <v>11542.900000000001</v>
      </c>
      <c r="K11" s="19">
        <f t="shared" si="1"/>
        <v>11941.900000000001</v>
      </c>
      <c r="L11" s="20"/>
    </row>
    <row r="12" spans="1:12" ht="15">
      <c r="A12" s="9">
        <v>8</v>
      </c>
      <c r="B12" s="22"/>
      <c r="C12" s="15" t="s">
        <v>12</v>
      </c>
      <c r="D12" s="16">
        <v>134.899</v>
      </c>
      <c r="E12" s="16">
        <f>456.705+51+125+50</f>
        <v>682.7049999999999</v>
      </c>
      <c r="F12" s="16">
        <f>342.953+437.284+125+50</f>
        <v>955.237</v>
      </c>
      <c r="G12" s="16">
        <f>101.8+125+50+198.573+3+51</f>
        <v>529.373</v>
      </c>
      <c r="H12" s="16">
        <f>125+50+52.133+47</f>
        <v>274.13300000000004</v>
      </c>
      <c r="I12" s="16">
        <f>125+50+3+116.5</f>
        <v>294.5</v>
      </c>
      <c r="J12" s="16">
        <f>100+50+301</f>
        <v>451</v>
      </c>
      <c r="K12" s="16">
        <f>8.561+50+50+524</f>
        <v>632.561</v>
      </c>
      <c r="L12" s="23"/>
    </row>
    <row r="13" spans="1:12" ht="15.75" thickBot="1">
      <c r="A13" s="83">
        <v>9</v>
      </c>
      <c r="B13" s="24"/>
      <c r="C13" s="25" t="s">
        <v>13</v>
      </c>
      <c r="D13" s="26">
        <v>43.899</v>
      </c>
      <c r="E13" s="26">
        <f>456.705+51</f>
        <v>507.705</v>
      </c>
      <c r="F13" s="26">
        <f>342.953+437.284</f>
        <v>780.237</v>
      </c>
      <c r="G13" s="26">
        <f>101.765+198.573+3+51</f>
        <v>354.338</v>
      </c>
      <c r="H13" s="26">
        <f>52.133+47</f>
        <v>99.13300000000001</v>
      </c>
      <c r="I13" s="26">
        <f>3+116.5</f>
        <v>119.5</v>
      </c>
      <c r="J13" s="26">
        <v>301</v>
      </c>
      <c r="K13" s="26">
        <f>8.561+524</f>
        <v>532.561</v>
      </c>
      <c r="L13" s="23"/>
    </row>
    <row r="14" spans="1:11" ht="15.75" thickBot="1">
      <c r="A14" s="27">
        <v>10</v>
      </c>
      <c r="B14" s="28" t="s">
        <v>14</v>
      </c>
      <c r="C14" s="28"/>
      <c r="D14" s="29">
        <f aca="true" t="shared" si="2" ref="D14:K14">SUM(D19,D26,D31,D42,D53,D58,D62,D66,D72,D78,D89,D15)</f>
        <v>9472.2134</v>
      </c>
      <c r="E14" s="29">
        <f t="shared" si="2"/>
        <v>11082.461</v>
      </c>
      <c r="F14" s="29">
        <f t="shared" si="2"/>
        <v>10666.861</v>
      </c>
      <c r="G14" s="29">
        <f t="shared" si="2"/>
        <v>10785.75</v>
      </c>
      <c r="H14" s="29">
        <f t="shared" si="2"/>
        <v>11153.882</v>
      </c>
      <c r="I14" s="29">
        <f t="shared" si="2"/>
        <v>11603.362000000001</v>
      </c>
      <c r="J14" s="29">
        <f t="shared" si="2"/>
        <v>11993.882000000001</v>
      </c>
      <c r="K14" s="29">
        <f t="shared" si="2"/>
        <v>12574.43</v>
      </c>
    </row>
    <row r="15" spans="1:11" ht="15.75" thickBot="1">
      <c r="A15" s="7">
        <v>11</v>
      </c>
      <c r="B15" s="30" t="s">
        <v>15</v>
      </c>
      <c r="C15" s="30"/>
      <c r="D15" s="31">
        <f aca="true" t="shared" si="3" ref="D15:K15">SUM(D16:D18)</f>
        <v>37.069</v>
      </c>
      <c r="E15" s="31">
        <f t="shared" si="3"/>
        <v>57</v>
      </c>
      <c r="F15" s="31">
        <f t="shared" si="3"/>
        <v>60.1</v>
      </c>
      <c r="G15" s="31">
        <f t="shared" si="3"/>
        <v>62.5</v>
      </c>
      <c r="H15" s="31">
        <f t="shared" si="3"/>
        <v>65.6</v>
      </c>
      <c r="I15" s="31">
        <f t="shared" si="3"/>
        <v>72.6</v>
      </c>
      <c r="J15" s="31">
        <f t="shared" si="3"/>
        <v>77.1</v>
      </c>
      <c r="K15" s="31">
        <f t="shared" si="3"/>
        <v>82.6</v>
      </c>
    </row>
    <row r="16" spans="1:11" ht="15">
      <c r="A16" s="13">
        <v>12</v>
      </c>
      <c r="B16" s="32"/>
      <c r="C16" s="33" t="s">
        <v>16</v>
      </c>
      <c r="D16" s="16">
        <v>21.552</v>
      </c>
      <c r="E16" s="16">
        <v>40</v>
      </c>
      <c r="F16" s="16">
        <v>42.6</v>
      </c>
      <c r="G16" s="16">
        <v>45</v>
      </c>
      <c r="H16" s="16">
        <v>47.6</v>
      </c>
      <c r="I16" s="34">
        <v>51.6</v>
      </c>
      <c r="J16" s="34">
        <v>56.1</v>
      </c>
      <c r="K16" s="34">
        <v>61.6</v>
      </c>
    </row>
    <row r="17" spans="1:11" ht="15">
      <c r="A17" s="13">
        <v>13</v>
      </c>
      <c r="B17" s="32"/>
      <c r="C17" s="33" t="s">
        <v>17</v>
      </c>
      <c r="D17" s="16"/>
      <c r="E17" s="16"/>
      <c r="F17" s="16"/>
      <c r="G17" s="16"/>
      <c r="H17" s="16"/>
      <c r="I17" s="34"/>
      <c r="J17" s="34"/>
      <c r="K17" s="34"/>
    </row>
    <row r="18" spans="1:11" ht="15.75" thickBot="1">
      <c r="A18" s="13">
        <v>14</v>
      </c>
      <c r="B18" s="32"/>
      <c r="C18" s="33" t="s">
        <v>18</v>
      </c>
      <c r="D18" s="16">
        <v>15.517</v>
      </c>
      <c r="E18" s="16">
        <v>17</v>
      </c>
      <c r="F18" s="16">
        <v>17.5</v>
      </c>
      <c r="G18" s="16">
        <v>17.5</v>
      </c>
      <c r="H18" s="16">
        <v>18</v>
      </c>
      <c r="I18" s="34">
        <v>21</v>
      </c>
      <c r="J18" s="34">
        <v>21</v>
      </c>
      <c r="K18" s="34">
        <v>21</v>
      </c>
    </row>
    <row r="19" spans="1:11" ht="15.75" thickBot="1">
      <c r="A19" s="7">
        <v>15</v>
      </c>
      <c r="B19" s="30" t="s">
        <v>19</v>
      </c>
      <c r="C19" s="30"/>
      <c r="D19" s="31">
        <f aca="true" t="shared" si="4" ref="D19:K19">SUM(D20+D23+D24+D25)</f>
        <v>332.5</v>
      </c>
      <c r="E19" s="31">
        <f t="shared" si="4"/>
        <v>437.9</v>
      </c>
      <c r="F19" s="31">
        <f t="shared" si="4"/>
        <v>472.59999999999997</v>
      </c>
      <c r="G19" s="31">
        <f t="shared" si="4"/>
        <v>448.49999999999994</v>
      </c>
      <c r="H19" s="31">
        <f t="shared" si="4"/>
        <v>453.4</v>
      </c>
      <c r="I19" s="31">
        <f t="shared" si="4"/>
        <v>469.8</v>
      </c>
      <c r="J19" s="31">
        <f t="shared" si="4"/>
        <v>470.4</v>
      </c>
      <c r="K19" s="31">
        <f t="shared" si="4"/>
        <v>466</v>
      </c>
    </row>
    <row r="20" spans="1:11" ht="15">
      <c r="A20" s="13">
        <v>16</v>
      </c>
      <c r="B20" s="35"/>
      <c r="C20" s="36" t="s">
        <v>20</v>
      </c>
      <c r="D20" s="12">
        <v>228.5</v>
      </c>
      <c r="E20" s="12">
        <v>263</v>
      </c>
      <c r="F20" s="12">
        <v>269.2</v>
      </c>
      <c r="G20" s="12">
        <v>275.4</v>
      </c>
      <c r="H20" s="12">
        <v>286.5</v>
      </c>
      <c r="I20" s="42">
        <v>297.8</v>
      </c>
      <c r="J20" s="42">
        <v>308.4</v>
      </c>
      <c r="K20" s="42">
        <v>314</v>
      </c>
    </row>
    <row r="21" spans="1:11" ht="15">
      <c r="A21" s="13">
        <v>17</v>
      </c>
      <c r="B21" s="38"/>
      <c r="C21" s="39" t="s">
        <v>21</v>
      </c>
      <c r="D21" s="16">
        <v>44.1</v>
      </c>
      <c r="E21" s="16">
        <v>47</v>
      </c>
      <c r="F21" s="16">
        <v>47</v>
      </c>
      <c r="G21" s="16">
        <v>48</v>
      </c>
      <c r="H21" s="16">
        <v>48</v>
      </c>
      <c r="I21" s="34">
        <v>49</v>
      </c>
      <c r="J21" s="34">
        <v>50</v>
      </c>
      <c r="K21" s="34">
        <v>50</v>
      </c>
    </row>
    <row r="22" spans="1:11" ht="15">
      <c r="A22" s="13">
        <v>18</v>
      </c>
      <c r="B22" s="38"/>
      <c r="C22" s="39" t="s">
        <v>22</v>
      </c>
      <c r="D22" s="16">
        <v>181.8</v>
      </c>
      <c r="E22" s="16">
        <v>210</v>
      </c>
      <c r="F22" s="16">
        <v>215</v>
      </c>
      <c r="G22" s="16">
        <v>220</v>
      </c>
      <c r="H22" s="16">
        <v>225</v>
      </c>
      <c r="I22" s="34">
        <v>230</v>
      </c>
      <c r="J22" s="34">
        <v>240</v>
      </c>
      <c r="K22" s="34">
        <v>245</v>
      </c>
    </row>
    <row r="23" spans="1:11" ht="15">
      <c r="A23" s="13">
        <v>19</v>
      </c>
      <c r="B23" s="38"/>
      <c r="C23" s="39" t="s">
        <v>23</v>
      </c>
      <c r="D23" s="16">
        <v>100</v>
      </c>
      <c r="E23" s="16">
        <v>127.5</v>
      </c>
      <c r="F23" s="16">
        <v>150</v>
      </c>
      <c r="G23" s="16">
        <v>150</v>
      </c>
      <c r="H23" s="16">
        <v>150</v>
      </c>
      <c r="I23" s="34">
        <v>160</v>
      </c>
      <c r="J23" s="34">
        <v>150</v>
      </c>
      <c r="K23" s="34">
        <v>140</v>
      </c>
    </row>
    <row r="24" spans="1:11" ht="15">
      <c r="A24" s="13">
        <v>20</v>
      </c>
      <c r="B24" s="38"/>
      <c r="C24" s="39" t="s">
        <v>24</v>
      </c>
      <c r="D24" s="16">
        <v>4</v>
      </c>
      <c r="E24" s="16">
        <f>6+5.7</f>
        <v>11.7</v>
      </c>
      <c r="F24" s="16">
        <f>6+5.7</f>
        <v>11.7</v>
      </c>
      <c r="G24" s="16">
        <f>6+5.7</f>
        <v>11.7</v>
      </c>
      <c r="H24" s="16">
        <f>6+5.7</f>
        <v>11.7</v>
      </c>
      <c r="I24" s="34">
        <f>6+6</f>
        <v>12</v>
      </c>
      <c r="J24" s="34">
        <f>6+6</f>
        <v>12</v>
      </c>
      <c r="K24" s="34">
        <f>6+6</f>
        <v>12</v>
      </c>
    </row>
    <row r="25" spans="1:11" ht="15.75" thickBot="1">
      <c r="A25" s="13">
        <v>21</v>
      </c>
      <c r="B25" s="38"/>
      <c r="C25" s="39" t="s">
        <v>56</v>
      </c>
      <c r="D25" s="16"/>
      <c r="E25" s="16">
        <v>35.7</v>
      </c>
      <c r="F25" s="16">
        <v>41.7</v>
      </c>
      <c r="G25" s="16">
        <v>11.4</v>
      </c>
      <c r="H25" s="16">
        <v>5.2</v>
      </c>
      <c r="I25" s="41"/>
      <c r="J25" s="41"/>
      <c r="K25" s="41"/>
    </row>
    <row r="26" spans="1:11" ht="15.75" thickBot="1">
      <c r="A26" s="7">
        <v>22</v>
      </c>
      <c r="B26" s="30" t="s">
        <v>25</v>
      </c>
      <c r="C26" s="30"/>
      <c r="D26" s="31">
        <f aca="true" t="shared" si="5" ref="D26:K26">SUM(D27+D28+D29+D30)</f>
        <v>81.301</v>
      </c>
      <c r="E26" s="31">
        <f t="shared" si="5"/>
        <v>244.9</v>
      </c>
      <c r="F26" s="31">
        <f t="shared" si="5"/>
        <v>236.3</v>
      </c>
      <c r="G26" s="31">
        <f t="shared" si="5"/>
        <v>242.9</v>
      </c>
      <c r="H26" s="31">
        <f t="shared" si="5"/>
        <v>252.8</v>
      </c>
      <c r="I26" s="31">
        <f t="shared" si="5"/>
        <v>259</v>
      </c>
      <c r="J26" s="31">
        <f t="shared" si="5"/>
        <v>255</v>
      </c>
      <c r="K26" s="31">
        <f t="shared" si="5"/>
        <v>266</v>
      </c>
    </row>
    <row r="27" spans="1:11" ht="15">
      <c r="A27" s="13">
        <v>23</v>
      </c>
      <c r="B27" s="35"/>
      <c r="C27" s="36" t="s">
        <v>20</v>
      </c>
      <c r="D27" s="12">
        <v>13.701</v>
      </c>
      <c r="E27" s="12">
        <v>40</v>
      </c>
      <c r="F27" s="12">
        <v>40</v>
      </c>
      <c r="G27" s="12">
        <v>41</v>
      </c>
      <c r="H27" s="12">
        <v>41</v>
      </c>
      <c r="I27" s="42">
        <v>42</v>
      </c>
      <c r="J27" s="42">
        <v>43</v>
      </c>
      <c r="K27" s="42">
        <v>44</v>
      </c>
    </row>
    <row r="28" spans="1:11" ht="15">
      <c r="A28" s="13">
        <v>24</v>
      </c>
      <c r="B28" s="38"/>
      <c r="C28" s="39" t="s">
        <v>17</v>
      </c>
      <c r="D28" s="16">
        <v>64.9</v>
      </c>
      <c r="E28" s="16">
        <v>150</v>
      </c>
      <c r="F28" s="16">
        <v>160</v>
      </c>
      <c r="G28" s="16">
        <v>170</v>
      </c>
      <c r="H28" s="16">
        <v>180</v>
      </c>
      <c r="I28" s="34">
        <v>185</v>
      </c>
      <c r="J28" s="34">
        <v>190</v>
      </c>
      <c r="K28" s="34">
        <v>200</v>
      </c>
    </row>
    <row r="29" spans="1:11" ht="15">
      <c r="A29" s="13">
        <v>25</v>
      </c>
      <c r="B29" s="38"/>
      <c r="C29" s="39" t="s">
        <v>24</v>
      </c>
      <c r="D29" s="16">
        <v>2.7</v>
      </c>
      <c r="E29" s="16">
        <f>7+3.8</f>
        <v>10.8</v>
      </c>
      <c r="F29" s="16">
        <f>7+3.8</f>
        <v>10.8</v>
      </c>
      <c r="G29" s="16">
        <f>8+3.8</f>
        <v>11.8</v>
      </c>
      <c r="H29" s="16">
        <f>8+3.8</f>
        <v>11.8</v>
      </c>
      <c r="I29" s="34">
        <f>8+4</f>
        <v>12</v>
      </c>
      <c r="J29" s="34">
        <f>8+4</f>
        <v>12</v>
      </c>
      <c r="K29" s="34">
        <f>8+4</f>
        <v>12</v>
      </c>
    </row>
    <row r="30" spans="1:11" ht="15.75" thickBot="1">
      <c r="A30" s="13">
        <v>26</v>
      </c>
      <c r="B30" s="38"/>
      <c r="C30" s="39" t="s">
        <v>56</v>
      </c>
      <c r="D30" s="16"/>
      <c r="E30" s="16">
        <v>44.1</v>
      </c>
      <c r="F30" s="16">
        <v>25.5</v>
      </c>
      <c r="G30" s="16">
        <v>20.1</v>
      </c>
      <c r="H30" s="16">
        <v>20</v>
      </c>
      <c r="I30" s="34">
        <v>20</v>
      </c>
      <c r="J30" s="34">
        <v>10</v>
      </c>
      <c r="K30" s="34">
        <v>10</v>
      </c>
    </row>
    <row r="31" spans="1:11" ht="15.75" thickBot="1">
      <c r="A31" s="7">
        <v>27</v>
      </c>
      <c r="B31" s="30" t="s">
        <v>26</v>
      </c>
      <c r="C31" s="30"/>
      <c r="D31" s="31">
        <f aca="true" t="shared" si="6" ref="D31:K31">SUM(D35+D38+D39+D41+D40)</f>
        <v>5339.4</v>
      </c>
      <c r="E31" s="31">
        <f t="shared" si="6"/>
        <v>5926.099999999999</v>
      </c>
      <c r="F31" s="31">
        <f t="shared" si="6"/>
        <v>6020.599999999999</v>
      </c>
      <c r="G31" s="31">
        <f t="shared" si="6"/>
        <v>6232.5</v>
      </c>
      <c r="H31" s="31">
        <f t="shared" si="6"/>
        <v>6438.2</v>
      </c>
      <c r="I31" s="31">
        <f t="shared" si="6"/>
        <v>6662</v>
      </c>
      <c r="J31" s="31">
        <f t="shared" si="6"/>
        <v>6822</v>
      </c>
      <c r="K31" s="31">
        <f t="shared" si="6"/>
        <v>7097</v>
      </c>
    </row>
    <row r="32" spans="1:46" ht="15">
      <c r="A32" s="13">
        <v>28</v>
      </c>
      <c r="B32" s="35"/>
      <c r="C32" s="43" t="s">
        <v>27</v>
      </c>
      <c r="D32" s="12">
        <v>4804.4</v>
      </c>
      <c r="E32" s="12">
        <v>5092</v>
      </c>
      <c r="F32" s="12">
        <v>5310</v>
      </c>
      <c r="G32" s="12">
        <v>5530</v>
      </c>
      <c r="H32" s="12">
        <v>5750</v>
      </c>
      <c r="I32" s="42">
        <v>5980</v>
      </c>
      <c r="J32" s="42">
        <v>6150</v>
      </c>
      <c r="K32" s="42">
        <v>6470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</row>
    <row r="33" spans="1:33" ht="15">
      <c r="A33" s="13">
        <v>29</v>
      </c>
      <c r="B33" s="45"/>
      <c r="C33" s="33" t="s">
        <v>28</v>
      </c>
      <c r="D33" s="16">
        <v>484.6</v>
      </c>
      <c r="E33" s="16">
        <f>495-0.2+2.1</f>
        <v>496.90000000000003</v>
      </c>
      <c r="F33" s="16">
        <f>480-1.9</f>
        <v>478.1</v>
      </c>
      <c r="G33" s="16">
        <v>470</v>
      </c>
      <c r="H33" s="16">
        <v>475</v>
      </c>
      <c r="I33" s="34">
        <v>480</v>
      </c>
      <c r="J33" s="34">
        <v>485</v>
      </c>
      <c r="K33" s="34">
        <v>490</v>
      </c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</row>
    <row r="34" spans="1:33" ht="15">
      <c r="A34" s="13">
        <v>30</v>
      </c>
      <c r="B34" s="38"/>
      <c r="C34" s="39" t="s">
        <v>73</v>
      </c>
      <c r="D34" s="16">
        <v>0</v>
      </c>
      <c r="E34" s="16">
        <v>40</v>
      </c>
      <c r="F34" s="16">
        <v>40</v>
      </c>
      <c r="G34" s="16">
        <v>30</v>
      </c>
      <c r="H34" s="16">
        <v>20</v>
      </c>
      <c r="I34" s="34">
        <v>20</v>
      </c>
      <c r="J34" s="34">
        <v>20</v>
      </c>
      <c r="K34" s="34">
        <v>20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1:11" ht="15">
      <c r="A35" s="13">
        <v>31</v>
      </c>
      <c r="B35" s="47"/>
      <c r="C35" s="39" t="s">
        <v>16</v>
      </c>
      <c r="D35" s="16">
        <f aca="true" t="shared" si="7" ref="D35:K35">SUM(D36:D37)</f>
        <v>5289.4</v>
      </c>
      <c r="E35" s="16">
        <f t="shared" si="7"/>
        <v>5588.9</v>
      </c>
      <c r="F35" s="16">
        <f t="shared" si="7"/>
        <v>5790</v>
      </c>
      <c r="G35" s="16">
        <f t="shared" si="7"/>
        <v>6000</v>
      </c>
      <c r="H35" s="16">
        <f t="shared" si="7"/>
        <v>6225</v>
      </c>
      <c r="I35" s="16">
        <f t="shared" si="7"/>
        <v>6460</v>
      </c>
      <c r="J35" s="16">
        <f t="shared" si="7"/>
        <v>6635</v>
      </c>
      <c r="K35" s="16">
        <f t="shared" si="7"/>
        <v>6960</v>
      </c>
    </row>
    <row r="36" spans="1:11" ht="15">
      <c r="A36" s="13">
        <v>32</v>
      </c>
      <c r="B36" s="38"/>
      <c r="C36" s="39" t="s">
        <v>29</v>
      </c>
      <c r="D36" s="16">
        <v>2550.9</v>
      </c>
      <c r="E36" s="16">
        <f>2677.5+7</f>
        <v>2684.5</v>
      </c>
      <c r="F36" s="16">
        <v>2763.2</v>
      </c>
      <c r="G36" s="16">
        <v>2847.9</v>
      </c>
      <c r="H36" s="16">
        <v>2947.5</v>
      </c>
      <c r="I36" s="34">
        <v>3051.4</v>
      </c>
      <c r="J36" s="34">
        <v>3129.5</v>
      </c>
      <c r="K36" s="34">
        <v>3272.1</v>
      </c>
    </row>
    <row r="37" spans="1:11" ht="15">
      <c r="A37" s="13">
        <v>33</v>
      </c>
      <c r="B37" s="38"/>
      <c r="C37" s="39" t="s">
        <v>30</v>
      </c>
      <c r="D37" s="16">
        <v>2738.5</v>
      </c>
      <c r="E37" s="16">
        <v>2904.4</v>
      </c>
      <c r="F37" s="16">
        <v>3026.8</v>
      </c>
      <c r="G37" s="16">
        <v>3152.1</v>
      </c>
      <c r="H37" s="16">
        <v>3277.5</v>
      </c>
      <c r="I37" s="34">
        <v>3408.6</v>
      </c>
      <c r="J37" s="34">
        <v>3505.5</v>
      </c>
      <c r="K37" s="34">
        <v>3687.9</v>
      </c>
    </row>
    <row r="38" spans="1:11" ht="15">
      <c r="A38" s="13">
        <v>34</v>
      </c>
      <c r="B38" s="38"/>
      <c r="C38" s="39" t="s">
        <v>74</v>
      </c>
      <c r="D38" s="16">
        <v>40</v>
      </c>
      <c r="E38" s="16">
        <v>40</v>
      </c>
      <c r="F38" s="16">
        <v>40</v>
      </c>
      <c r="G38" s="16">
        <v>30</v>
      </c>
      <c r="H38" s="16">
        <v>20</v>
      </c>
      <c r="I38" s="34">
        <v>20</v>
      </c>
      <c r="J38" s="34">
        <v>20</v>
      </c>
      <c r="K38" s="34">
        <v>20</v>
      </c>
    </row>
    <row r="39" spans="1:11" ht="15">
      <c r="A39" s="13">
        <v>35</v>
      </c>
      <c r="B39" s="38"/>
      <c r="C39" s="39" t="s">
        <v>24</v>
      </c>
      <c r="D39" s="16">
        <v>10</v>
      </c>
      <c r="E39" s="16">
        <f>12+11.4</f>
        <v>23.4</v>
      </c>
      <c r="F39" s="16">
        <f>12+11.4</f>
        <v>23.4</v>
      </c>
      <c r="G39" s="16">
        <f>12+11.4</f>
        <v>23.4</v>
      </c>
      <c r="H39" s="16">
        <f>13.8+11.4</f>
        <v>25.200000000000003</v>
      </c>
      <c r="I39" s="34">
        <f>13.4+12</f>
        <v>25.4</v>
      </c>
      <c r="J39" s="34">
        <f>14.3+12</f>
        <v>26.3</v>
      </c>
      <c r="K39" s="34">
        <f>13.4+12</f>
        <v>25.4</v>
      </c>
    </row>
    <row r="40" spans="1:11" s="4" customFormat="1" ht="15">
      <c r="A40" s="13">
        <v>36</v>
      </c>
      <c r="B40" s="38"/>
      <c r="C40" s="39" t="s">
        <v>66</v>
      </c>
      <c r="D40" s="16"/>
      <c r="E40" s="16">
        <v>3.5</v>
      </c>
      <c r="F40" s="16">
        <v>0.7</v>
      </c>
      <c r="G40" s="16">
        <v>1.6</v>
      </c>
      <c r="H40" s="16">
        <v>0.7</v>
      </c>
      <c r="I40" s="16">
        <v>1.6</v>
      </c>
      <c r="J40" s="16">
        <v>0.7</v>
      </c>
      <c r="K40" s="16">
        <f>1.6</f>
        <v>1.6</v>
      </c>
    </row>
    <row r="41" spans="1:11" ht="15.75" thickBot="1">
      <c r="A41" s="13">
        <v>37</v>
      </c>
      <c r="B41" s="38"/>
      <c r="C41" s="39" t="s">
        <v>56</v>
      </c>
      <c r="D41" s="16"/>
      <c r="E41" s="16">
        <v>270.3</v>
      </c>
      <c r="F41" s="16">
        <v>166.5</v>
      </c>
      <c r="G41" s="16">
        <v>177.5</v>
      </c>
      <c r="H41" s="16">
        <v>167.3</v>
      </c>
      <c r="I41" s="34">
        <v>155</v>
      </c>
      <c r="J41" s="34">
        <v>140</v>
      </c>
      <c r="K41" s="34">
        <v>90</v>
      </c>
    </row>
    <row r="42" spans="1:11" ht="15.75" thickBot="1">
      <c r="A42" s="7">
        <v>38</v>
      </c>
      <c r="B42" s="30" t="s">
        <v>31</v>
      </c>
      <c r="C42" s="30"/>
      <c r="D42" s="31">
        <f aca="true" t="shared" si="8" ref="D42:K42">SUM(D43+D49+D51+D52)</f>
        <v>2538.07</v>
      </c>
      <c r="E42" s="31">
        <f t="shared" si="8"/>
        <v>2289.7</v>
      </c>
      <c r="F42" s="31">
        <f t="shared" si="8"/>
        <v>2338.9</v>
      </c>
      <c r="G42" s="31">
        <f t="shared" si="8"/>
        <v>2473</v>
      </c>
      <c r="H42" s="31">
        <f t="shared" si="8"/>
        <v>2562.9</v>
      </c>
      <c r="I42" s="31">
        <f t="shared" si="8"/>
        <v>2681.1</v>
      </c>
      <c r="J42" s="31">
        <f t="shared" si="8"/>
        <v>2754.1</v>
      </c>
      <c r="K42" s="31">
        <f t="shared" si="8"/>
        <v>3070.3</v>
      </c>
    </row>
    <row r="43" spans="1:12" ht="15">
      <c r="A43" s="13">
        <v>39</v>
      </c>
      <c r="B43" s="48"/>
      <c r="C43" s="36" t="s">
        <v>20</v>
      </c>
      <c r="D43" s="12">
        <v>2140.611</v>
      </c>
      <c r="E43" s="12">
        <f aca="true" t="shared" si="9" ref="E43:K43">SUM(E44+E45)</f>
        <v>1530</v>
      </c>
      <c r="F43" s="12">
        <f t="shared" si="9"/>
        <v>1568</v>
      </c>
      <c r="G43" s="12">
        <f t="shared" si="9"/>
        <v>1596</v>
      </c>
      <c r="H43" s="12">
        <f t="shared" si="9"/>
        <v>1654</v>
      </c>
      <c r="I43" s="12">
        <f t="shared" si="9"/>
        <v>1808</v>
      </c>
      <c r="J43" s="12">
        <f t="shared" si="9"/>
        <v>1827</v>
      </c>
      <c r="K43" s="12">
        <f t="shared" si="9"/>
        <v>1845</v>
      </c>
      <c r="L43" s="4"/>
    </row>
    <row r="44" spans="1:12" ht="15">
      <c r="A44" s="13">
        <v>40</v>
      </c>
      <c r="B44" s="32"/>
      <c r="C44" s="39" t="s">
        <v>32</v>
      </c>
      <c r="D44" s="16">
        <v>1415</v>
      </c>
      <c r="E44" s="16">
        <v>780</v>
      </c>
      <c r="F44" s="16">
        <v>790</v>
      </c>
      <c r="G44" s="16">
        <v>805</v>
      </c>
      <c r="H44" s="16">
        <v>850</v>
      </c>
      <c r="I44" s="16">
        <v>990</v>
      </c>
      <c r="J44" s="16">
        <v>995</v>
      </c>
      <c r="K44" s="16">
        <v>1000</v>
      </c>
      <c r="L44" s="4"/>
    </row>
    <row r="45" spans="1:12" ht="15">
      <c r="A45" s="13">
        <v>41</v>
      </c>
      <c r="B45" s="32"/>
      <c r="C45" s="39" t="s">
        <v>33</v>
      </c>
      <c r="D45" s="16">
        <v>696</v>
      </c>
      <c r="E45" s="16">
        <f aca="true" t="shared" si="10" ref="E45:K45">SUM(E46:E48)</f>
        <v>750</v>
      </c>
      <c r="F45" s="16">
        <f t="shared" si="10"/>
        <v>778</v>
      </c>
      <c r="G45" s="16">
        <f t="shared" si="10"/>
        <v>791</v>
      </c>
      <c r="H45" s="16">
        <f t="shared" si="10"/>
        <v>804</v>
      </c>
      <c r="I45" s="16">
        <f t="shared" si="10"/>
        <v>818</v>
      </c>
      <c r="J45" s="16">
        <f t="shared" si="10"/>
        <v>832</v>
      </c>
      <c r="K45" s="16">
        <f t="shared" si="10"/>
        <v>845</v>
      </c>
      <c r="L45" s="4"/>
    </row>
    <row r="46" spans="1:12" ht="15">
      <c r="A46" s="13">
        <v>42</v>
      </c>
      <c r="B46" s="32"/>
      <c r="C46" s="39" t="s">
        <v>34</v>
      </c>
      <c r="D46" s="16">
        <v>313</v>
      </c>
      <c r="E46" s="16">
        <v>338</v>
      </c>
      <c r="F46" s="16">
        <v>354</v>
      </c>
      <c r="G46" s="16">
        <v>359</v>
      </c>
      <c r="H46" s="16">
        <v>364</v>
      </c>
      <c r="I46" s="16">
        <v>369</v>
      </c>
      <c r="J46" s="16">
        <v>375</v>
      </c>
      <c r="K46" s="16">
        <v>380</v>
      </c>
      <c r="L46" s="4"/>
    </row>
    <row r="47" spans="1:12" ht="15">
      <c r="A47" s="13">
        <v>43</v>
      </c>
      <c r="B47" s="32"/>
      <c r="C47" s="39" t="s">
        <v>35</v>
      </c>
      <c r="D47" s="16">
        <v>349</v>
      </c>
      <c r="E47" s="16">
        <v>377</v>
      </c>
      <c r="F47" s="16">
        <v>387</v>
      </c>
      <c r="G47" s="16">
        <v>393</v>
      </c>
      <c r="H47" s="16">
        <v>399</v>
      </c>
      <c r="I47" s="16">
        <v>405</v>
      </c>
      <c r="J47" s="16">
        <v>410</v>
      </c>
      <c r="K47" s="16">
        <v>415</v>
      </c>
      <c r="L47" s="4"/>
    </row>
    <row r="48" spans="1:12" ht="15">
      <c r="A48" s="13">
        <v>44</v>
      </c>
      <c r="B48" s="32"/>
      <c r="C48" s="39" t="s">
        <v>36</v>
      </c>
      <c r="D48" s="16">
        <v>34</v>
      </c>
      <c r="E48" s="16">
        <v>35</v>
      </c>
      <c r="F48" s="16">
        <v>37</v>
      </c>
      <c r="G48" s="16">
        <v>39</v>
      </c>
      <c r="H48" s="16">
        <v>41</v>
      </c>
      <c r="I48" s="16">
        <v>44</v>
      </c>
      <c r="J48" s="16">
        <v>47</v>
      </c>
      <c r="K48" s="16">
        <v>50</v>
      </c>
      <c r="L48" s="4"/>
    </row>
    <row r="49" spans="1:12" ht="15">
      <c r="A49" s="13">
        <v>45</v>
      </c>
      <c r="B49" s="32"/>
      <c r="C49" s="39" t="s">
        <v>37</v>
      </c>
      <c r="D49" s="16">
        <v>396.909</v>
      </c>
      <c r="E49" s="16">
        <v>690</v>
      </c>
      <c r="F49" s="16">
        <v>759</v>
      </c>
      <c r="G49" s="16">
        <f>775+96.3-12</f>
        <v>859.3</v>
      </c>
      <c r="H49" s="16">
        <f>775+100-13</f>
        <v>862</v>
      </c>
      <c r="I49" s="16">
        <f>880-38.4-14</f>
        <v>827.6</v>
      </c>
      <c r="J49" s="16">
        <f>885-11.4-15</f>
        <v>858.6</v>
      </c>
      <c r="K49" s="16">
        <f>890-2.2+291.5-15</f>
        <v>1164.3</v>
      </c>
      <c r="L49" s="4"/>
    </row>
    <row r="50" spans="1:12" ht="15">
      <c r="A50" s="13">
        <v>46</v>
      </c>
      <c r="B50" s="32"/>
      <c r="C50" s="39" t="s">
        <v>38</v>
      </c>
      <c r="D50" s="16">
        <v>14</v>
      </c>
      <c r="E50" s="16">
        <v>18</v>
      </c>
      <c r="F50" s="16">
        <v>20</v>
      </c>
      <c r="G50" s="16">
        <v>22</v>
      </c>
      <c r="H50" s="16">
        <v>30</v>
      </c>
      <c r="I50" s="16">
        <v>30</v>
      </c>
      <c r="J50" s="16">
        <v>30</v>
      </c>
      <c r="K50" s="16">
        <v>30</v>
      </c>
      <c r="L50" s="4"/>
    </row>
    <row r="51" spans="1:11" ht="15">
      <c r="A51" s="13">
        <v>47</v>
      </c>
      <c r="B51" s="38"/>
      <c r="C51" s="39" t="s">
        <v>24</v>
      </c>
      <c r="D51" s="16">
        <v>0.55</v>
      </c>
      <c r="E51" s="16">
        <f>1+8.5</f>
        <v>9.5</v>
      </c>
      <c r="F51" s="16">
        <f>1+8.5</f>
        <v>9.5</v>
      </c>
      <c r="G51" s="16">
        <f>1+8.5</f>
        <v>9.5</v>
      </c>
      <c r="H51" s="16">
        <f>1+8.5</f>
        <v>9.5</v>
      </c>
      <c r="I51" s="34">
        <f>1+9</f>
        <v>10</v>
      </c>
      <c r="J51" s="34">
        <f>1+9</f>
        <v>10</v>
      </c>
      <c r="K51" s="34">
        <f>1+9</f>
        <v>10</v>
      </c>
    </row>
    <row r="52" spans="1:11" ht="15.75" thickBot="1">
      <c r="A52" s="13">
        <v>48</v>
      </c>
      <c r="B52" s="38"/>
      <c r="C52" s="39" t="s">
        <v>56</v>
      </c>
      <c r="D52" s="16"/>
      <c r="E52" s="16">
        <v>60.2</v>
      </c>
      <c r="F52" s="16">
        <v>2.4</v>
      </c>
      <c r="G52" s="16">
        <v>8.2</v>
      </c>
      <c r="H52" s="16">
        <f>16.9+20.5</f>
        <v>37.4</v>
      </c>
      <c r="I52" s="34">
        <v>35.5</v>
      </c>
      <c r="J52" s="34">
        <v>58.5</v>
      </c>
      <c r="K52" s="34">
        <v>51</v>
      </c>
    </row>
    <row r="53" spans="1:11" ht="15.75" thickBot="1">
      <c r="A53" s="7">
        <v>49</v>
      </c>
      <c r="B53" s="30" t="s">
        <v>55</v>
      </c>
      <c r="C53" s="30"/>
      <c r="D53" s="31">
        <f aca="true" t="shared" si="11" ref="D53:K53">SUM(D54+D55+D56+D57)</f>
        <v>275.4094</v>
      </c>
      <c r="E53" s="31">
        <f t="shared" si="11"/>
        <v>308.3</v>
      </c>
      <c r="F53" s="31">
        <f t="shared" si="11"/>
        <v>315</v>
      </c>
      <c r="G53" s="31">
        <f t="shared" si="11"/>
        <v>317.90000000000003</v>
      </c>
      <c r="H53" s="31">
        <f t="shared" si="11"/>
        <v>322.8</v>
      </c>
      <c r="I53" s="31">
        <f t="shared" si="11"/>
        <v>328</v>
      </c>
      <c r="J53" s="31">
        <f t="shared" si="11"/>
        <v>333</v>
      </c>
      <c r="K53" s="31">
        <f t="shared" si="11"/>
        <v>338</v>
      </c>
    </row>
    <row r="54" spans="1:11" ht="15">
      <c r="A54" s="13">
        <v>50</v>
      </c>
      <c r="B54" s="35"/>
      <c r="C54" s="36" t="s">
        <v>20</v>
      </c>
      <c r="D54" s="12">
        <v>181.966</v>
      </c>
      <c r="E54" s="12">
        <v>200</v>
      </c>
      <c r="F54" s="12">
        <v>206</v>
      </c>
      <c r="G54" s="12">
        <v>215</v>
      </c>
      <c r="H54" s="12">
        <v>220</v>
      </c>
      <c r="I54" s="42">
        <v>225</v>
      </c>
      <c r="J54" s="42">
        <v>230</v>
      </c>
      <c r="K54" s="42">
        <v>235</v>
      </c>
    </row>
    <row r="55" spans="1:11" ht="15">
      <c r="A55" s="13">
        <v>51</v>
      </c>
      <c r="B55" s="38"/>
      <c r="C55" s="39" t="s">
        <v>17</v>
      </c>
      <c r="D55" s="16">
        <v>38</v>
      </c>
      <c r="E55" s="16">
        <v>38</v>
      </c>
      <c r="F55" s="16">
        <v>38</v>
      </c>
      <c r="G55" s="16">
        <v>38</v>
      </c>
      <c r="H55" s="16">
        <v>38</v>
      </c>
      <c r="I55" s="34">
        <v>38</v>
      </c>
      <c r="J55" s="34">
        <v>38</v>
      </c>
      <c r="K55" s="34">
        <v>38</v>
      </c>
    </row>
    <row r="56" spans="1:11" ht="15">
      <c r="A56" s="13">
        <v>52</v>
      </c>
      <c r="B56" s="38"/>
      <c r="C56" s="39" t="s">
        <v>24</v>
      </c>
      <c r="D56" s="16">
        <v>55.4434</v>
      </c>
      <c r="E56" s="16">
        <f>60+4.8</f>
        <v>64.8</v>
      </c>
      <c r="F56" s="16">
        <f>60+4.8</f>
        <v>64.8</v>
      </c>
      <c r="G56" s="16">
        <f>60+4.8</f>
        <v>64.8</v>
      </c>
      <c r="H56" s="16">
        <f>60+4.8</f>
        <v>64.8</v>
      </c>
      <c r="I56" s="34">
        <f>60+5</f>
        <v>65</v>
      </c>
      <c r="J56" s="34">
        <f>60+5</f>
        <v>65</v>
      </c>
      <c r="K56" s="34">
        <f>60+5</f>
        <v>65</v>
      </c>
    </row>
    <row r="57" spans="1:11" ht="15.75" thickBot="1">
      <c r="A57" s="13">
        <v>53</v>
      </c>
      <c r="B57" s="38"/>
      <c r="C57" s="39" t="s">
        <v>56</v>
      </c>
      <c r="D57" s="16"/>
      <c r="E57" s="16">
        <v>5.5</v>
      </c>
      <c r="F57" s="16">
        <v>6.2</v>
      </c>
      <c r="G57" s="16">
        <v>0.1</v>
      </c>
      <c r="H57" s="16"/>
      <c r="I57" s="41"/>
      <c r="J57" s="41"/>
      <c r="K57" s="41"/>
    </row>
    <row r="58" spans="1:11" ht="15.75" thickBot="1">
      <c r="A58" s="7">
        <v>54</v>
      </c>
      <c r="B58" s="30" t="s">
        <v>39</v>
      </c>
      <c r="C58" s="30"/>
      <c r="D58" s="31">
        <f aca="true" t="shared" si="12" ref="D58:K58">SUM(D59:D60,D61)</f>
        <v>0</v>
      </c>
      <c r="E58" s="31">
        <f t="shared" si="12"/>
        <v>21</v>
      </c>
      <c r="F58" s="31">
        <f t="shared" si="12"/>
        <v>20.6</v>
      </c>
      <c r="G58" s="31">
        <f t="shared" si="12"/>
        <v>20.200000000000003</v>
      </c>
      <c r="H58" s="31">
        <f t="shared" si="12"/>
        <v>20.6</v>
      </c>
      <c r="I58" s="31">
        <f t="shared" si="12"/>
        <v>22</v>
      </c>
      <c r="J58" s="31">
        <f t="shared" si="12"/>
        <v>22</v>
      </c>
      <c r="K58" s="31">
        <f t="shared" si="12"/>
        <v>22</v>
      </c>
    </row>
    <row r="59" spans="1:11" ht="15">
      <c r="A59" s="13">
        <v>55</v>
      </c>
      <c r="B59" s="35"/>
      <c r="C59" s="36" t="s">
        <v>64</v>
      </c>
      <c r="D59" s="37"/>
      <c r="E59" s="12">
        <v>10</v>
      </c>
      <c r="F59" s="12">
        <v>11</v>
      </c>
      <c r="G59" s="12">
        <v>12</v>
      </c>
      <c r="H59" s="12">
        <v>13</v>
      </c>
      <c r="I59" s="42">
        <v>14</v>
      </c>
      <c r="J59" s="42">
        <v>14</v>
      </c>
      <c r="K59" s="42">
        <v>14</v>
      </c>
    </row>
    <row r="60" spans="1:11" ht="15">
      <c r="A60" s="13">
        <v>56</v>
      </c>
      <c r="B60" s="38"/>
      <c r="C60" s="39" t="s">
        <v>24</v>
      </c>
      <c r="D60" s="16"/>
      <c r="E60" s="16">
        <v>7.6</v>
      </c>
      <c r="F60" s="16">
        <v>7.6</v>
      </c>
      <c r="G60" s="16">
        <v>7.6</v>
      </c>
      <c r="H60" s="16">
        <v>7.6</v>
      </c>
      <c r="I60" s="34">
        <v>8</v>
      </c>
      <c r="J60" s="34">
        <v>8</v>
      </c>
      <c r="K60" s="34">
        <v>8</v>
      </c>
    </row>
    <row r="61" spans="1:11" ht="15.75" thickBot="1">
      <c r="A61" s="80">
        <v>57</v>
      </c>
      <c r="B61" s="38"/>
      <c r="C61" s="39" t="s">
        <v>56</v>
      </c>
      <c r="D61" s="16"/>
      <c r="E61" s="16">
        <v>3.4</v>
      </c>
      <c r="F61" s="16">
        <v>2</v>
      </c>
      <c r="G61" s="16">
        <v>0.6</v>
      </c>
      <c r="H61" s="16"/>
      <c r="I61" s="41"/>
      <c r="J61" s="41"/>
      <c r="K61" s="41"/>
    </row>
    <row r="62" spans="1:11" ht="15.75" thickBot="1">
      <c r="A62" s="7">
        <v>58</v>
      </c>
      <c r="B62" s="30" t="s">
        <v>40</v>
      </c>
      <c r="C62" s="30"/>
      <c r="D62" s="31">
        <f aca="true" t="shared" si="13" ref="D62:K62">SUM(D63:D65)</f>
        <v>89.93</v>
      </c>
      <c r="E62" s="31">
        <f t="shared" si="13"/>
        <v>51</v>
      </c>
      <c r="F62" s="31">
        <f t="shared" si="13"/>
        <v>56</v>
      </c>
      <c r="G62" s="31">
        <f t="shared" si="13"/>
        <v>61.5</v>
      </c>
      <c r="H62" s="31">
        <f t="shared" si="13"/>
        <v>63.5</v>
      </c>
      <c r="I62" s="31">
        <f t="shared" si="13"/>
        <v>65.5</v>
      </c>
      <c r="J62" s="31">
        <f t="shared" si="13"/>
        <v>67.5</v>
      </c>
      <c r="K62" s="31">
        <f t="shared" si="13"/>
        <v>69.5</v>
      </c>
    </row>
    <row r="63" spans="1:11" ht="15">
      <c r="A63" s="9">
        <v>59</v>
      </c>
      <c r="B63" s="49"/>
      <c r="C63" s="36" t="s">
        <v>20</v>
      </c>
      <c r="D63" s="37">
        <v>28.748</v>
      </c>
      <c r="E63" s="12">
        <v>1</v>
      </c>
      <c r="F63" s="12">
        <v>1</v>
      </c>
      <c r="G63" s="12">
        <v>1.5</v>
      </c>
      <c r="H63" s="12">
        <v>1.5</v>
      </c>
      <c r="I63" s="42">
        <v>1.5</v>
      </c>
      <c r="J63" s="42">
        <v>1.5</v>
      </c>
      <c r="K63" s="42">
        <v>1.5</v>
      </c>
    </row>
    <row r="64" spans="1:11" ht="15">
      <c r="A64" s="13">
        <v>60</v>
      </c>
      <c r="B64" s="47"/>
      <c r="C64" s="39" t="s">
        <v>17</v>
      </c>
      <c r="D64" s="40">
        <v>0</v>
      </c>
      <c r="E64" s="16">
        <v>0</v>
      </c>
      <c r="F64" s="16">
        <v>0</v>
      </c>
      <c r="G64" s="16">
        <v>0</v>
      </c>
      <c r="H64" s="16">
        <v>0</v>
      </c>
      <c r="I64" s="34">
        <v>0</v>
      </c>
      <c r="J64" s="34">
        <v>0</v>
      </c>
      <c r="K64" s="34">
        <v>0</v>
      </c>
    </row>
    <row r="65" spans="1:11" ht="15.75" thickBot="1">
      <c r="A65" s="80">
        <v>61</v>
      </c>
      <c r="B65" s="38"/>
      <c r="C65" s="39" t="s">
        <v>24</v>
      </c>
      <c r="D65" s="16">
        <v>61.182</v>
      </c>
      <c r="E65" s="16">
        <v>50</v>
      </c>
      <c r="F65" s="16">
        <v>55</v>
      </c>
      <c r="G65" s="16">
        <v>60</v>
      </c>
      <c r="H65" s="16">
        <v>62</v>
      </c>
      <c r="I65" s="34">
        <v>64</v>
      </c>
      <c r="J65" s="34">
        <v>66</v>
      </c>
      <c r="K65" s="34">
        <v>68</v>
      </c>
    </row>
    <row r="66" spans="1:11" ht="15.75" thickBot="1">
      <c r="A66" s="7">
        <v>62</v>
      </c>
      <c r="B66" s="30" t="s">
        <v>41</v>
      </c>
      <c r="C66" s="30"/>
      <c r="D66" s="31">
        <f aca="true" t="shared" si="14" ref="D66:K66">SUM(D67:D70,D71)</f>
        <v>0</v>
      </c>
      <c r="E66" s="31">
        <f t="shared" si="14"/>
        <v>127.7</v>
      </c>
      <c r="F66" s="31">
        <f t="shared" si="14"/>
        <v>132.4</v>
      </c>
      <c r="G66" s="31">
        <f t="shared" si="14"/>
        <v>136.5</v>
      </c>
      <c r="H66" s="31">
        <f t="shared" si="14"/>
        <v>142.1</v>
      </c>
      <c r="I66" s="31">
        <f t="shared" si="14"/>
        <v>151.6</v>
      </c>
      <c r="J66" s="31">
        <f t="shared" si="14"/>
        <v>157.6</v>
      </c>
      <c r="K66" s="31">
        <f t="shared" si="14"/>
        <v>163.7</v>
      </c>
    </row>
    <row r="67" spans="1:11" ht="15">
      <c r="A67" s="9">
        <v>63</v>
      </c>
      <c r="B67" s="49"/>
      <c r="C67" s="36" t="s">
        <v>20</v>
      </c>
      <c r="D67" s="37"/>
      <c r="E67" s="12">
        <v>28</v>
      </c>
      <c r="F67" s="12">
        <v>30</v>
      </c>
      <c r="G67" s="12">
        <v>33</v>
      </c>
      <c r="H67" s="12">
        <v>36</v>
      </c>
      <c r="I67" s="42">
        <v>40</v>
      </c>
      <c r="J67" s="42">
        <v>44</v>
      </c>
      <c r="K67" s="42">
        <v>48</v>
      </c>
    </row>
    <row r="68" spans="1:11" ht="15">
      <c r="A68" s="13">
        <v>64</v>
      </c>
      <c r="B68" s="47"/>
      <c r="C68" s="39" t="s">
        <v>17</v>
      </c>
      <c r="D68" s="40"/>
      <c r="E68" s="16">
        <v>1.5</v>
      </c>
      <c r="F68" s="16">
        <v>1.5</v>
      </c>
      <c r="G68" s="16">
        <v>1.5</v>
      </c>
      <c r="H68" s="16">
        <v>1.6</v>
      </c>
      <c r="I68" s="34">
        <v>1.6</v>
      </c>
      <c r="J68" s="34">
        <v>1.6</v>
      </c>
      <c r="K68" s="34">
        <v>1.7</v>
      </c>
    </row>
    <row r="69" spans="1:11" ht="15">
      <c r="A69" s="13">
        <v>65</v>
      </c>
      <c r="B69" s="47"/>
      <c r="C69" s="39" t="s">
        <v>42</v>
      </c>
      <c r="D69" s="40"/>
      <c r="E69" s="16">
        <f>25+47.5</f>
        <v>72.5</v>
      </c>
      <c r="F69" s="16">
        <f>27+47.5</f>
        <v>74.5</v>
      </c>
      <c r="G69" s="16">
        <f>29+47.5</f>
        <v>76.5</v>
      </c>
      <c r="H69" s="16">
        <f>32+47.5</f>
        <v>79.5</v>
      </c>
      <c r="I69" s="34">
        <f>35+50</f>
        <v>85</v>
      </c>
      <c r="J69" s="34">
        <f>37+50</f>
        <v>87</v>
      </c>
      <c r="K69" s="34">
        <f>39+50</f>
        <v>89</v>
      </c>
    </row>
    <row r="70" spans="1:11" ht="15">
      <c r="A70" s="13">
        <v>66</v>
      </c>
      <c r="B70" s="38"/>
      <c r="C70" s="39" t="s">
        <v>43</v>
      </c>
      <c r="D70" s="16"/>
      <c r="E70" s="16">
        <v>25</v>
      </c>
      <c r="F70" s="16">
        <v>25</v>
      </c>
      <c r="G70" s="16">
        <v>25</v>
      </c>
      <c r="H70" s="16">
        <v>25</v>
      </c>
      <c r="I70" s="34">
        <v>25</v>
      </c>
      <c r="J70" s="34">
        <v>25</v>
      </c>
      <c r="K70" s="34">
        <v>25</v>
      </c>
    </row>
    <row r="71" spans="1:11" ht="15.75" thickBot="1">
      <c r="A71" s="80">
        <v>67</v>
      </c>
      <c r="B71" s="38"/>
      <c r="C71" s="39" t="s">
        <v>56</v>
      </c>
      <c r="D71" s="16"/>
      <c r="E71" s="16">
        <v>0.7</v>
      </c>
      <c r="F71" s="16">
        <v>1.4</v>
      </c>
      <c r="G71" s="16">
        <v>0.5</v>
      </c>
      <c r="H71" s="16"/>
      <c r="I71" s="41"/>
      <c r="J71" s="41"/>
      <c r="K71" s="41"/>
    </row>
    <row r="72" spans="1:11" ht="15.75" thickBot="1">
      <c r="A72" s="7">
        <v>68</v>
      </c>
      <c r="B72" s="30" t="s">
        <v>44</v>
      </c>
      <c r="C72" s="30"/>
      <c r="D72" s="31">
        <f aca="true" t="shared" si="15" ref="D72:K72">SUM(D76+D75+D74+D73+D77)</f>
        <v>104.89099999999999</v>
      </c>
      <c r="E72" s="31">
        <f t="shared" si="15"/>
        <v>132.2</v>
      </c>
      <c r="F72" s="31">
        <f t="shared" si="15"/>
        <v>121.5</v>
      </c>
      <c r="G72" s="31">
        <f t="shared" si="15"/>
        <v>120.5</v>
      </c>
      <c r="H72" s="31">
        <f t="shared" si="15"/>
        <v>113.7</v>
      </c>
      <c r="I72" s="31">
        <f t="shared" si="15"/>
        <v>116.3</v>
      </c>
      <c r="J72" s="31">
        <f t="shared" si="15"/>
        <v>119</v>
      </c>
      <c r="K72" s="31">
        <f t="shared" si="15"/>
        <v>119</v>
      </c>
    </row>
    <row r="73" spans="1:11" ht="15">
      <c r="A73" s="9">
        <v>69</v>
      </c>
      <c r="B73" s="35"/>
      <c r="C73" s="36" t="s">
        <v>45</v>
      </c>
      <c r="D73" s="12">
        <v>10.846</v>
      </c>
      <c r="E73" s="12">
        <v>11</v>
      </c>
      <c r="F73" s="12">
        <v>11</v>
      </c>
      <c r="G73" s="12">
        <v>11</v>
      </c>
      <c r="H73" s="12">
        <v>12</v>
      </c>
      <c r="I73" s="42">
        <v>12.5</v>
      </c>
      <c r="J73" s="42">
        <v>13</v>
      </c>
      <c r="K73" s="42">
        <v>13</v>
      </c>
    </row>
    <row r="74" spans="1:11" ht="15">
      <c r="A74" s="13">
        <v>70</v>
      </c>
      <c r="B74" s="38"/>
      <c r="C74" s="39" t="s">
        <v>46</v>
      </c>
      <c r="D74" s="16">
        <v>18.82</v>
      </c>
      <c r="E74" s="16">
        <v>15</v>
      </c>
      <c r="F74" s="16">
        <v>15</v>
      </c>
      <c r="G74" s="16">
        <v>15</v>
      </c>
      <c r="H74" s="16">
        <v>16</v>
      </c>
      <c r="I74" s="34">
        <v>18</v>
      </c>
      <c r="J74" s="34">
        <v>20</v>
      </c>
      <c r="K74" s="34">
        <v>20</v>
      </c>
    </row>
    <row r="75" spans="1:11" ht="15">
      <c r="A75" s="13">
        <v>71</v>
      </c>
      <c r="B75" s="38"/>
      <c r="C75" s="39" t="s">
        <v>24</v>
      </c>
      <c r="D75" s="16">
        <v>8.365</v>
      </c>
      <c r="E75" s="16">
        <f>4.5+5.7</f>
        <v>10.2</v>
      </c>
      <c r="F75" s="16">
        <f>4.5+5.7</f>
        <v>10.2</v>
      </c>
      <c r="G75" s="16">
        <f>4.5+5.7</f>
        <v>10.2</v>
      </c>
      <c r="H75" s="16">
        <f>4.5+5.7</f>
        <v>10.2</v>
      </c>
      <c r="I75" s="34">
        <f>4.8+6</f>
        <v>10.8</v>
      </c>
      <c r="J75" s="34">
        <f>5+6</f>
        <v>11</v>
      </c>
      <c r="K75" s="34">
        <f>5+6</f>
        <v>11</v>
      </c>
    </row>
    <row r="76" spans="1:11" ht="15">
      <c r="A76" s="13">
        <v>72</v>
      </c>
      <c r="B76" s="38"/>
      <c r="C76" s="39" t="s">
        <v>47</v>
      </c>
      <c r="D76" s="16">
        <v>66.86</v>
      </c>
      <c r="E76" s="16">
        <v>70</v>
      </c>
      <c r="F76" s="16">
        <v>70</v>
      </c>
      <c r="G76" s="16">
        <v>75</v>
      </c>
      <c r="H76" s="16">
        <v>75</v>
      </c>
      <c r="I76" s="34">
        <v>75</v>
      </c>
      <c r="J76" s="34">
        <v>75</v>
      </c>
      <c r="K76" s="34">
        <v>75</v>
      </c>
    </row>
    <row r="77" spans="1:11" ht="15" customHeight="1" thickBot="1">
      <c r="A77" s="80">
        <v>73</v>
      </c>
      <c r="B77" s="38"/>
      <c r="C77" s="39" t="s">
        <v>56</v>
      </c>
      <c r="D77" s="16"/>
      <c r="E77" s="16">
        <v>26</v>
      </c>
      <c r="F77" s="16">
        <v>15.3</v>
      </c>
      <c r="G77" s="16">
        <v>9.3</v>
      </c>
      <c r="H77" s="16">
        <v>0.5</v>
      </c>
      <c r="I77" s="41"/>
      <c r="J77" s="41"/>
      <c r="K77" s="41"/>
    </row>
    <row r="78" spans="1:11" ht="15.75" thickBot="1">
      <c r="A78" s="7">
        <v>74</v>
      </c>
      <c r="B78" s="92" t="s">
        <v>65</v>
      </c>
      <c r="C78" s="93"/>
      <c r="D78" s="31">
        <f aca="true" t="shared" si="16" ref="D78:J78">D79+D83+D87+D88</f>
        <v>352.67600000000004</v>
      </c>
      <c r="E78" s="31">
        <f>E79+E83+E87+E88</f>
        <v>1126.261</v>
      </c>
      <c r="F78" s="31">
        <f t="shared" si="16"/>
        <v>534.761</v>
      </c>
      <c r="G78" s="31">
        <f t="shared" si="16"/>
        <v>305.75</v>
      </c>
      <c r="H78" s="31">
        <f t="shared" si="16"/>
        <v>338.78200000000004</v>
      </c>
      <c r="I78" s="31">
        <f t="shared" si="16"/>
        <v>407.182</v>
      </c>
      <c r="J78" s="31">
        <f t="shared" si="16"/>
        <v>510.682</v>
      </c>
      <c r="K78" s="31">
        <f>K79+K83+K87+K88</f>
        <v>471.13</v>
      </c>
    </row>
    <row r="79" spans="1:12" ht="15">
      <c r="A79" s="9">
        <v>75</v>
      </c>
      <c r="B79" s="68"/>
      <c r="C79" s="43" t="s">
        <v>54</v>
      </c>
      <c r="D79" s="44">
        <f aca="true" t="shared" si="17" ref="D79:K79">SUM(D80,D81,D82)</f>
        <v>245.811</v>
      </c>
      <c r="E79" s="12">
        <f t="shared" si="17"/>
        <v>965.961</v>
      </c>
      <c r="F79" s="12">
        <f t="shared" si="17"/>
        <v>386.06100000000004</v>
      </c>
      <c r="G79" s="12">
        <f t="shared" si="17"/>
        <v>163.45</v>
      </c>
      <c r="H79" s="12">
        <f t="shared" si="17"/>
        <v>177.68200000000002</v>
      </c>
      <c r="I79" s="12">
        <f t="shared" si="17"/>
        <v>242.182</v>
      </c>
      <c r="J79" s="12">
        <f t="shared" si="17"/>
        <v>343.682</v>
      </c>
      <c r="K79" s="12">
        <f t="shared" si="17"/>
        <v>302.13</v>
      </c>
      <c r="L79" s="20"/>
    </row>
    <row r="80" spans="1:12" ht="15">
      <c r="A80" s="13">
        <v>76</v>
      </c>
      <c r="B80" s="38"/>
      <c r="C80" s="39" t="s">
        <v>57</v>
      </c>
      <c r="D80" s="16">
        <v>142.425</v>
      </c>
      <c r="E80" s="16"/>
      <c r="F80" s="16"/>
      <c r="G80" s="16"/>
      <c r="H80" s="16"/>
      <c r="I80" s="34"/>
      <c r="J80" s="34"/>
      <c r="K80" s="34"/>
      <c r="L80" s="51"/>
    </row>
    <row r="81" spans="1:12" ht="15">
      <c r="A81" s="13">
        <v>77</v>
      </c>
      <c r="B81" s="38"/>
      <c r="C81" s="39" t="s">
        <v>58</v>
      </c>
      <c r="D81" s="16">
        <v>103.386</v>
      </c>
      <c r="E81" s="16">
        <f>396.677+514.284</f>
        <v>910.961</v>
      </c>
      <c r="F81" s="16">
        <f>77.488+248.573</f>
        <v>326.06100000000004</v>
      </c>
      <c r="G81" s="16">
        <f>3.317+33.133+47</f>
        <v>83.45</v>
      </c>
      <c r="H81" s="16">
        <f>1.182+116.5</f>
        <v>117.682</v>
      </c>
      <c r="I81" s="34">
        <f>1.182+201</f>
        <v>202.182</v>
      </c>
      <c r="J81" s="34">
        <f>1.182+332.5</f>
        <v>333.682</v>
      </c>
      <c r="K81" s="34">
        <f>0.63+291.5</f>
        <v>292.13</v>
      </c>
      <c r="L81" s="51"/>
    </row>
    <row r="82" spans="1:12" ht="15">
      <c r="A82" s="13">
        <v>78</v>
      </c>
      <c r="B82" s="69"/>
      <c r="C82" s="70" t="s">
        <v>59</v>
      </c>
      <c r="D82" s="71"/>
      <c r="E82" s="71">
        <v>55</v>
      </c>
      <c r="F82" s="71">
        <v>60</v>
      </c>
      <c r="G82" s="71">
        <v>80</v>
      </c>
      <c r="H82" s="71">
        <v>60</v>
      </c>
      <c r="I82" s="72">
        <v>40</v>
      </c>
      <c r="J82" s="72">
        <v>10</v>
      </c>
      <c r="K82" s="72">
        <v>10</v>
      </c>
      <c r="L82" s="51"/>
    </row>
    <row r="83" spans="1:11" s="60" customFormat="1" ht="15">
      <c r="A83" s="13">
        <v>79</v>
      </c>
      <c r="B83" s="66"/>
      <c r="C83" s="33" t="s">
        <v>63</v>
      </c>
      <c r="D83" s="46">
        <v>95.385</v>
      </c>
      <c r="E83" s="16">
        <f aca="true" t="shared" si="18" ref="E83:K83">E84+E85+E86</f>
        <v>85</v>
      </c>
      <c r="F83" s="16">
        <f t="shared" si="18"/>
        <v>85</v>
      </c>
      <c r="G83" s="16">
        <f t="shared" si="18"/>
        <v>84.9</v>
      </c>
      <c r="H83" s="16">
        <f t="shared" si="18"/>
        <v>110</v>
      </c>
      <c r="I83" s="16">
        <f t="shared" si="18"/>
        <v>115</v>
      </c>
      <c r="J83" s="16">
        <f t="shared" si="18"/>
        <v>115</v>
      </c>
      <c r="K83" s="16">
        <f t="shared" si="18"/>
        <v>115</v>
      </c>
    </row>
    <row r="84" spans="1:11" ht="15">
      <c r="A84" s="13">
        <v>80</v>
      </c>
      <c r="B84" s="35"/>
      <c r="C84" s="36" t="s">
        <v>71</v>
      </c>
      <c r="D84" s="12">
        <v>44.585</v>
      </c>
      <c r="E84" s="12">
        <v>35</v>
      </c>
      <c r="F84" s="12">
        <v>35</v>
      </c>
      <c r="G84" s="12">
        <v>34.9</v>
      </c>
      <c r="H84" s="12">
        <v>35</v>
      </c>
      <c r="I84" s="42">
        <v>40</v>
      </c>
      <c r="J84" s="42">
        <v>40</v>
      </c>
      <c r="K84" s="42">
        <v>40</v>
      </c>
    </row>
    <row r="85" spans="1:11" ht="15">
      <c r="A85" s="13">
        <v>81</v>
      </c>
      <c r="B85" s="38"/>
      <c r="C85" s="39" t="s">
        <v>60</v>
      </c>
      <c r="D85" s="16">
        <v>0</v>
      </c>
      <c r="E85" s="16"/>
      <c r="F85" s="16"/>
      <c r="G85" s="16"/>
      <c r="H85" s="16"/>
      <c r="I85" s="34"/>
      <c r="J85" s="34"/>
      <c r="K85" s="34"/>
    </row>
    <row r="86" spans="1:11" ht="15">
      <c r="A86" s="13">
        <v>82</v>
      </c>
      <c r="B86" s="32" t="s">
        <v>48</v>
      </c>
      <c r="C86" s="33" t="s">
        <v>61</v>
      </c>
      <c r="D86" s="16">
        <v>50.8</v>
      </c>
      <c r="E86" s="16">
        <v>50</v>
      </c>
      <c r="F86" s="16">
        <v>50</v>
      </c>
      <c r="G86" s="16">
        <v>50</v>
      </c>
      <c r="H86" s="16">
        <v>75</v>
      </c>
      <c r="I86" s="34">
        <v>75</v>
      </c>
      <c r="J86" s="34">
        <v>75</v>
      </c>
      <c r="K86" s="34">
        <v>75</v>
      </c>
    </row>
    <row r="87" spans="1:11" ht="15">
      <c r="A87" s="13">
        <v>83</v>
      </c>
      <c r="B87" s="66"/>
      <c r="C87" s="33" t="s">
        <v>67</v>
      </c>
      <c r="D87" s="46">
        <v>11.48</v>
      </c>
      <c r="E87" s="16">
        <f>23.3+10</f>
        <v>33.3</v>
      </c>
      <c r="F87" s="16">
        <v>19.7</v>
      </c>
      <c r="G87" s="16">
        <v>11.4</v>
      </c>
      <c r="H87" s="16">
        <v>3.1</v>
      </c>
      <c r="I87" s="34">
        <v>0</v>
      </c>
      <c r="J87" s="34">
        <v>0</v>
      </c>
      <c r="K87" s="34">
        <v>0</v>
      </c>
    </row>
    <row r="88" spans="1:11" ht="15.75" thickBot="1">
      <c r="A88" s="80">
        <v>84</v>
      </c>
      <c r="C88" s="67" t="s">
        <v>62</v>
      </c>
      <c r="D88" s="64"/>
      <c r="E88" s="84">
        <v>42</v>
      </c>
      <c r="F88" s="84">
        <v>44</v>
      </c>
      <c r="G88" s="84">
        <v>46</v>
      </c>
      <c r="H88" s="84">
        <v>48</v>
      </c>
      <c r="I88" s="85">
        <v>50</v>
      </c>
      <c r="J88" s="85">
        <v>52</v>
      </c>
      <c r="K88" s="85">
        <v>54</v>
      </c>
    </row>
    <row r="89" spans="1:11" ht="15.75" thickBot="1">
      <c r="A89" s="7">
        <v>85</v>
      </c>
      <c r="B89" s="30" t="s">
        <v>75</v>
      </c>
      <c r="C89" s="30"/>
      <c r="D89" s="31">
        <f aca="true" t="shared" si="19" ref="D89:J89">SUM(D90+D93+D94)</f>
        <v>320.967</v>
      </c>
      <c r="E89" s="31">
        <f t="shared" si="19"/>
        <v>360.4</v>
      </c>
      <c r="F89" s="31">
        <f t="shared" si="19"/>
        <v>358.1</v>
      </c>
      <c r="G89" s="31">
        <f t="shared" si="19"/>
        <v>363.99999999999994</v>
      </c>
      <c r="H89" s="31">
        <f t="shared" si="19"/>
        <v>379.5</v>
      </c>
      <c r="I89" s="31">
        <f t="shared" si="19"/>
        <v>368.28</v>
      </c>
      <c r="J89" s="31">
        <f t="shared" si="19"/>
        <v>405.5</v>
      </c>
      <c r="K89" s="31">
        <f>SUM(K90+K93+K94)</f>
        <v>409.2</v>
      </c>
    </row>
    <row r="90" spans="1:11" ht="15">
      <c r="A90" s="9">
        <v>86</v>
      </c>
      <c r="B90" s="38"/>
      <c r="C90" s="39" t="s">
        <v>20</v>
      </c>
      <c r="D90" s="16">
        <v>312.157</v>
      </c>
      <c r="E90" s="16">
        <f>363-42</f>
        <v>321</v>
      </c>
      <c r="F90" s="16">
        <f>375.7-44</f>
        <v>331.7</v>
      </c>
      <c r="G90" s="16">
        <f>377.9-46</f>
        <v>331.9</v>
      </c>
      <c r="H90" s="16">
        <f>396.3-48</f>
        <v>348.3</v>
      </c>
      <c r="I90" s="34">
        <f>428.7-10.72-28.2-50</f>
        <v>339.78</v>
      </c>
      <c r="J90" s="34">
        <f>429.1-0.8-52</f>
        <v>376.3</v>
      </c>
      <c r="K90" s="34">
        <f>438.9-5.8-54</f>
        <v>379.09999999999997</v>
      </c>
    </row>
    <row r="91" spans="1:11" ht="15">
      <c r="A91" s="13">
        <v>87</v>
      </c>
      <c r="B91" s="38"/>
      <c r="C91" s="39" t="s">
        <v>49</v>
      </c>
      <c r="D91" s="16">
        <f>D90*0.55</f>
        <v>171.68635</v>
      </c>
      <c r="E91" s="16">
        <f aca="true" t="shared" si="20" ref="E91:K91">E90*0.55</f>
        <v>176.55</v>
      </c>
      <c r="F91" s="16">
        <f t="shared" si="20"/>
        <v>182.435</v>
      </c>
      <c r="G91" s="16">
        <f t="shared" si="20"/>
        <v>182.54500000000002</v>
      </c>
      <c r="H91" s="16">
        <f t="shared" si="20"/>
        <v>191.56500000000003</v>
      </c>
      <c r="I91" s="34">
        <f t="shared" si="20"/>
        <v>186.879</v>
      </c>
      <c r="J91" s="34">
        <f t="shared" si="20"/>
        <v>206.96500000000003</v>
      </c>
      <c r="K91" s="34">
        <f t="shared" si="20"/>
        <v>208.505</v>
      </c>
    </row>
    <row r="92" spans="1:11" ht="15">
      <c r="A92" s="13">
        <v>88</v>
      </c>
      <c r="B92" s="38"/>
      <c r="C92" s="39" t="s">
        <v>50</v>
      </c>
      <c r="D92" s="16">
        <f aca="true" t="shared" si="21" ref="D92:K92">D90*0.45</f>
        <v>140.47065</v>
      </c>
      <c r="E92" s="16">
        <f t="shared" si="21"/>
        <v>144.45000000000002</v>
      </c>
      <c r="F92" s="16">
        <f t="shared" si="21"/>
        <v>149.265</v>
      </c>
      <c r="G92" s="16">
        <f t="shared" si="21"/>
        <v>149.355</v>
      </c>
      <c r="H92" s="16">
        <f t="shared" si="21"/>
        <v>156.735</v>
      </c>
      <c r="I92" s="34">
        <f t="shared" si="21"/>
        <v>152.90099999999998</v>
      </c>
      <c r="J92" s="34">
        <f t="shared" si="21"/>
        <v>169.335</v>
      </c>
      <c r="K92" s="34">
        <f t="shared" si="21"/>
        <v>170.595</v>
      </c>
    </row>
    <row r="93" spans="1:11" ht="15">
      <c r="A93" s="13">
        <v>89</v>
      </c>
      <c r="B93" s="38"/>
      <c r="C93" s="52" t="s">
        <v>17</v>
      </c>
      <c r="D93" s="16">
        <v>8.81</v>
      </c>
      <c r="E93" s="16">
        <v>36.4</v>
      </c>
      <c r="F93" s="16">
        <v>26.3</v>
      </c>
      <c r="G93" s="16">
        <v>31.9</v>
      </c>
      <c r="H93" s="16">
        <v>31</v>
      </c>
      <c r="I93" s="34">
        <v>28.3</v>
      </c>
      <c r="J93" s="34">
        <v>29</v>
      </c>
      <c r="K93" s="34">
        <v>30</v>
      </c>
    </row>
    <row r="94" spans="1:11" ht="15.75" thickBot="1">
      <c r="A94" s="80">
        <v>90</v>
      </c>
      <c r="B94" s="61"/>
      <c r="C94" s="39" t="s">
        <v>56</v>
      </c>
      <c r="D94" s="62"/>
      <c r="E94" s="62">
        <v>3</v>
      </c>
      <c r="F94" s="62">
        <v>0.1</v>
      </c>
      <c r="G94" s="62">
        <v>0.2</v>
      </c>
      <c r="H94" s="62">
        <v>0.2</v>
      </c>
      <c r="I94" s="63">
        <v>0.2</v>
      </c>
      <c r="J94" s="63">
        <v>0.2</v>
      </c>
      <c r="K94" s="63">
        <v>0.1</v>
      </c>
    </row>
    <row r="95" spans="1:11" ht="16.5" thickBot="1">
      <c r="A95" s="27">
        <v>91</v>
      </c>
      <c r="B95" s="53" t="s">
        <v>51</v>
      </c>
      <c r="C95" s="53"/>
      <c r="D95" s="54">
        <f aca="true" t="shared" si="22" ref="D95:K95">SUM(D5-D14)</f>
        <v>3624.906499999999</v>
      </c>
      <c r="E95" s="54">
        <f t="shared" si="22"/>
        <v>-461.7559999999994</v>
      </c>
      <c r="F95" s="54">
        <f t="shared" si="22"/>
        <v>571.3759999999984</v>
      </c>
      <c r="G95" s="54">
        <f t="shared" si="22"/>
        <v>392.6229999999996</v>
      </c>
      <c r="H95" s="54">
        <f t="shared" si="22"/>
        <v>122.65099999999984</v>
      </c>
      <c r="I95" s="54">
        <f t="shared" si="22"/>
        <v>0.03799999999864667</v>
      </c>
      <c r="J95" s="54">
        <f t="shared" si="22"/>
        <v>0.017999999998210114</v>
      </c>
      <c r="K95" s="54">
        <f t="shared" si="22"/>
        <v>0.030999999999039574</v>
      </c>
    </row>
    <row r="96" spans="1:11" s="58" customFormat="1" ht="15.75" thickBot="1">
      <c r="A96" s="7">
        <v>92</v>
      </c>
      <c r="B96" s="55" t="s">
        <v>52</v>
      </c>
      <c r="C96" s="56"/>
      <c r="D96" s="57">
        <f aca="true" t="shared" si="23" ref="D96:K96">SUM(D18,D75,D69,D65,D56,D51,D39,D29,D24)</f>
        <v>157.7574</v>
      </c>
      <c r="E96" s="57">
        <f t="shared" si="23"/>
        <v>269.9</v>
      </c>
      <c r="F96" s="57">
        <f t="shared" si="23"/>
        <v>277.4</v>
      </c>
      <c r="G96" s="57">
        <f t="shared" si="23"/>
        <v>285.4</v>
      </c>
      <c r="H96" s="57">
        <f t="shared" si="23"/>
        <v>292.7</v>
      </c>
      <c r="I96" s="57">
        <f t="shared" si="23"/>
        <v>305.2</v>
      </c>
      <c r="J96" s="57">
        <f t="shared" si="23"/>
        <v>310.3</v>
      </c>
      <c r="K96" s="57">
        <f t="shared" si="23"/>
        <v>313.4</v>
      </c>
    </row>
    <row r="97" spans="1:11" s="58" customFormat="1" ht="15.75" thickBot="1">
      <c r="A97" s="7">
        <v>93</v>
      </c>
      <c r="B97" s="30" t="s">
        <v>68</v>
      </c>
      <c r="C97" s="76"/>
      <c r="D97" s="50">
        <f aca="true" t="shared" si="24" ref="D97:K97">SUM(D98:D100)</f>
        <v>0</v>
      </c>
      <c r="E97" s="50">
        <f t="shared" si="24"/>
        <v>461.80000000000007</v>
      </c>
      <c r="F97" s="50">
        <f t="shared" si="24"/>
        <v>-571.4</v>
      </c>
      <c r="G97" s="50">
        <f t="shared" si="24"/>
        <v>-392.6</v>
      </c>
      <c r="H97" s="50">
        <f t="shared" si="24"/>
        <v>-122.7</v>
      </c>
      <c r="I97" s="50">
        <f t="shared" si="24"/>
        <v>0</v>
      </c>
      <c r="J97" s="50">
        <f t="shared" si="24"/>
        <v>0</v>
      </c>
      <c r="K97" s="50">
        <f t="shared" si="24"/>
        <v>0</v>
      </c>
    </row>
    <row r="98" spans="1:11" ht="15">
      <c r="A98" s="9">
        <v>94</v>
      </c>
      <c r="B98" s="74" t="s">
        <v>70</v>
      </c>
      <c r="C98" s="74"/>
      <c r="D98" s="46"/>
      <c r="E98" s="46">
        <f>618.6+5+13.2</f>
        <v>636.8000000000001</v>
      </c>
      <c r="F98" s="46"/>
      <c r="G98" s="46"/>
      <c r="H98" s="46"/>
      <c r="I98" s="46"/>
      <c r="J98" s="46"/>
      <c r="K98" s="46"/>
    </row>
    <row r="99" spans="1:11" ht="15">
      <c r="A99" s="13">
        <v>95</v>
      </c>
      <c r="B99" s="74" t="s">
        <v>69</v>
      </c>
      <c r="C99" s="74"/>
      <c r="D99" s="46"/>
      <c r="E99" s="46">
        <v>-175</v>
      </c>
      <c r="F99" s="46">
        <v>-163.6</v>
      </c>
      <c r="G99" s="46">
        <v>-163.6</v>
      </c>
      <c r="H99" s="46">
        <v>-122.7</v>
      </c>
      <c r="I99" s="41">
        <v>0</v>
      </c>
      <c r="J99" s="41">
        <v>0</v>
      </c>
      <c r="K99" s="41">
        <v>0</v>
      </c>
    </row>
    <row r="100" spans="1:11" ht="15.75" thickBot="1">
      <c r="A100" s="80">
        <v>96</v>
      </c>
      <c r="B100" s="73" t="s">
        <v>72</v>
      </c>
      <c r="C100" s="73"/>
      <c r="D100" s="64"/>
      <c r="E100" s="64"/>
      <c r="F100" s="64">
        <f>-426.8+0.7+5+13.3</f>
        <v>-407.8</v>
      </c>
      <c r="G100" s="64">
        <f>-191.8-0.7-10-1.7-24.8</f>
        <v>-229</v>
      </c>
      <c r="H100" s="64"/>
      <c r="I100" s="65"/>
      <c r="J100" s="65"/>
      <c r="K100" s="65"/>
    </row>
    <row r="101" spans="1:11" ht="16.5" thickBot="1">
      <c r="A101" s="7">
        <v>97</v>
      </c>
      <c r="B101" s="78" t="s">
        <v>53</v>
      </c>
      <c r="C101" s="78"/>
      <c r="D101" s="59" t="e">
        <f>SUM(D95+#REF!+D99)</f>
        <v>#REF!</v>
      </c>
      <c r="E101" s="59">
        <f>SUM(E95+E98+E99)</f>
        <v>0.04400000000066484</v>
      </c>
      <c r="F101" s="59">
        <f aca="true" t="shared" si="25" ref="F101:K101">SUM(F95+F99+F100)</f>
        <v>-0.02400000000164937</v>
      </c>
      <c r="G101" s="59">
        <f t="shared" si="25"/>
        <v>0.02299999999959823</v>
      </c>
      <c r="H101" s="59">
        <f t="shared" si="25"/>
        <v>-0.04900000000016291</v>
      </c>
      <c r="I101" s="59">
        <f t="shared" si="25"/>
        <v>0.03799999999864667</v>
      </c>
      <c r="J101" s="59">
        <f t="shared" si="25"/>
        <v>0.017999999998210114</v>
      </c>
      <c r="K101" s="59">
        <f t="shared" si="25"/>
        <v>0.030999999999039574</v>
      </c>
    </row>
    <row r="102" s="60" customFormat="1" ht="18" customHeight="1"/>
    <row r="103" ht="15">
      <c r="A103" s="58"/>
    </row>
    <row r="104" spans="1:7" ht="15">
      <c r="A104" s="58"/>
      <c r="C104" s="58"/>
      <c r="E104" s="4"/>
      <c r="G104" s="75"/>
    </row>
  </sheetData>
  <mergeCells count="5">
    <mergeCell ref="A3:A4"/>
    <mergeCell ref="B3:C3"/>
    <mergeCell ref="B5:C5"/>
    <mergeCell ref="B78:C78"/>
    <mergeCell ref="B4:C4"/>
  </mergeCells>
  <printOptions/>
  <pageMargins left="0.1968503937007874" right="0.1968503937007874" top="0.23" bottom="0.35" header="0.15748031496062992" footer="0.16"/>
  <pageSetup fitToHeight="0" fitToWidth="1"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</dc:creator>
  <cp:keywords/>
  <dc:description/>
  <cp:lastModifiedBy>Bohumír Mach</cp:lastModifiedBy>
  <cp:lastPrinted>2008-09-17T10:08:26Z</cp:lastPrinted>
  <dcterms:created xsi:type="dcterms:W3CDTF">2008-07-04T11:56:15Z</dcterms:created>
  <dcterms:modified xsi:type="dcterms:W3CDTF">2008-09-18T08:56:27Z</dcterms:modified>
  <cp:category/>
  <cp:version/>
  <cp:contentType/>
  <cp:contentStatus/>
</cp:coreProperties>
</file>